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2.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mplementaria ONAC 2019\Documentos ajustados\"/>
    </mc:Choice>
  </mc:AlternateContent>
  <workbookProtection workbookAlgorithmName="SHA-512" workbookHashValue="rdId1gBz3YgQGOyMYnUTVTF7QT7LcC7VRkaHBtWyVrmYvizH/npceJjYoGFNVu0FsOumpiiu19VjGzrPdZWz1Q==" workbookSaltValue="jfpcciJNNusqDFqnD1SnfQ==" workbookSpinCount="100000" lockStructure="1"/>
  <bookViews>
    <workbookView xWindow="0" yWindow="0" windowWidth="20325" windowHeight="9735" firstSheet="2" activeTab="2"/>
  </bookViews>
  <sheets>
    <sheet name="DATOS ° " sheetId="15" state="hidden" r:id="rId1"/>
    <sheet name="RT03-F12 °" sheetId="8" state="hidden" r:id="rId2"/>
    <sheet name=" RT03-F15 °" sheetId="18" r:id="rId3"/>
    <sheet name="RT03-F39" sheetId="21" state="hidden" r:id="rId4"/>
  </sheets>
  <externalReferences>
    <externalReference r:id="rId5"/>
    <externalReference r:id="rId6"/>
    <externalReference r:id="rId7"/>
  </externalReferences>
  <definedNames>
    <definedName name="a1_">'[1]APROXIMACION LINEL'!$C$21</definedName>
    <definedName name="_xlnm.Print_Area" localSheetId="2">' RT03-F15 °'!$A$1:$F$193</definedName>
    <definedName name="_xlnm.Print_Area" localSheetId="1">'RT03-F12 °'!$A$1:$P$145</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°'!$A$1:$F$194</definedName>
    <definedName name="Print_Area" localSheetId="0">'DATOS ° '!$A$1:$T$167</definedName>
    <definedName name="Print_Area" localSheetId="1">'RT03-F12 °'!$A$1:$L$144</definedName>
    <definedName name="Print_Area" localSheetId="3">'RT03-F39'!$A$1:$F$174</definedName>
    <definedName name="Print_Titles" localSheetId="2">' RT03-F15 °'!$1:$1</definedName>
    <definedName name="Print_Titles" localSheetId="1">'RT03-F12 °'!$1:$3</definedName>
    <definedName name="Print_Titles" localSheetId="3">'RT03-F39'!$1:$1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6" i="8" l="1"/>
  <c r="F137" i="8"/>
  <c r="G22" i="8" l="1"/>
  <c r="P29" i="15" l="1"/>
  <c r="P30" i="15"/>
  <c r="P31" i="15"/>
  <c r="P32" i="15"/>
  <c r="P28" i="15"/>
  <c r="L17" i="15" l="1"/>
  <c r="K17" i="15" l="1"/>
  <c r="D171" i="21" l="1"/>
  <c r="A171" i="21"/>
  <c r="D170" i="21"/>
  <c r="A170" i="21"/>
  <c r="A104" i="21"/>
  <c r="B101" i="21"/>
  <c r="B100" i="21"/>
  <c r="B99" i="21"/>
  <c r="B98" i="21"/>
  <c r="B97" i="21"/>
  <c r="D86" i="21"/>
  <c r="C86" i="21"/>
  <c r="B86" i="21"/>
  <c r="A86" i="21"/>
  <c r="D85" i="21"/>
  <c r="C85" i="21"/>
  <c r="B85" i="21"/>
  <c r="A85" i="21"/>
  <c r="D84" i="21"/>
  <c r="C84" i="21"/>
  <c r="B84" i="21"/>
  <c r="A84" i="21"/>
  <c r="D83" i="21"/>
  <c r="C83" i="21"/>
  <c r="B83" i="21"/>
  <c r="A83" i="21"/>
  <c r="D82" i="21"/>
  <c r="C82" i="21"/>
  <c r="B82" i="21"/>
  <c r="A82" i="21"/>
  <c r="D81" i="21"/>
  <c r="C81" i="21"/>
  <c r="B81" i="21"/>
  <c r="A81" i="21"/>
  <c r="D80" i="21"/>
  <c r="C80" i="21"/>
  <c r="B80" i="21"/>
  <c r="A80" i="21"/>
  <c r="D79" i="21"/>
  <c r="C79" i="21"/>
  <c r="B79" i="21"/>
  <c r="A79" i="21"/>
  <c r="D78" i="21"/>
  <c r="C78" i="21"/>
  <c r="B78" i="21"/>
  <c r="A78" i="21"/>
  <c r="D77" i="21"/>
  <c r="C77" i="21"/>
  <c r="B77" i="21"/>
  <c r="A77" i="21"/>
  <c r="A75" i="21"/>
  <c r="B63" i="21"/>
  <c r="A63" i="21"/>
  <c r="B62" i="21"/>
  <c r="A62" i="21"/>
  <c r="B61" i="21"/>
  <c r="A61" i="21"/>
  <c r="B60" i="21"/>
  <c r="A60" i="21"/>
  <c r="B59" i="21"/>
  <c r="A59" i="21"/>
  <c r="B58" i="21"/>
  <c r="A58" i="21"/>
  <c r="C57" i="21"/>
  <c r="A57" i="21"/>
  <c r="R125" i="15" l="1"/>
  <c r="D191" i="18" l="1"/>
  <c r="D190" i="18"/>
  <c r="K65" i="8"/>
  <c r="A191" i="18"/>
  <c r="A190" i="18"/>
  <c r="E28" i="8" l="1"/>
  <c r="C28" i="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J28" i="8" s="1"/>
  <c r="K163" i="15"/>
  <c r="K162" i="15"/>
  <c r="K161" i="15"/>
  <c r="J165" i="15"/>
  <c r="J164" i="15"/>
  <c r="G28" i="8" s="1"/>
  <c r="J163" i="15"/>
  <c r="J162" i="15"/>
  <c r="J161" i="15"/>
  <c r="I165" i="15"/>
  <c r="I164" i="15"/>
  <c r="I163" i="15"/>
  <c r="I162" i="15"/>
  <c r="I161" i="15"/>
  <c r="H164" i="15"/>
  <c r="H165" i="15"/>
  <c r="H163" i="15"/>
  <c r="H162" i="15"/>
  <c r="H161" i="15"/>
  <c r="G165" i="15"/>
  <c r="G164" i="15"/>
  <c r="G163" i="15"/>
  <c r="G162" i="15"/>
  <c r="G161" i="15"/>
  <c r="K159" i="15"/>
  <c r="J159" i="15"/>
  <c r="H159" i="15"/>
  <c r="I159" i="15"/>
  <c r="R145" i="15"/>
  <c r="N163" i="15" s="1"/>
  <c r="Q145" i="15"/>
  <c r="M163" i="15" s="1"/>
  <c r="P145" i="15"/>
  <c r="L163" i="15" s="1"/>
  <c r="R135" i="15"/>
  <c r="N162" i="15" s="1"/>
  <c r="Q135" i="15"/>
  <c r="M162" i="15" s="1"/>
  <c r="P135" i="15"/>
  <c r="L162" i="15" s="1"/>
  <c r="Q125" i="15"/>
  <c r="M165" i="15" s="1"/>
  <c r="P125" i="15"/>
  <c r="L165" i="15" s="1"/>
  <c r="R114" i="15"/>
  <c r="N164" i="15" s="1"/>
  <c r="J29" i="8" s="1"/>
  <c r="Q114" i="15"/>
  <c r="M164" i="15" s="1"/>
  <c r="H29" i="8" s="1"/>
  <c r="P114" i="15"/>
  <c r="L164" i="15" s="1"/>
  <c r="E29" i="8" s="1"/>
  <c r="R103" i="15"/>
  <c r="N161" i="15" s="1"/>
  <c r="Q103" i="15"/>
  <c r="M161" i="15" s="1"/>
  <c r="P103" i="15"/>
  <c r="L161" i="15" s="1"/>
  <c r="A102" i="18" l="1"/>
  <c r="B99" i="18"/>
  <c r="B98" i="18"/>
  <c r="B97" i="18"/>
  <c r="B96" i="18"/>
  <c r="B95" i="18"/>
  <c r="D87" i="18"/>
  <c r="C87" i="18"/>
  <c r="B87" i="18"/>
  <c r="A87" i="18"/>
  <c r="D86" i="18"/>
  <c r="C86" i="18"/>
  <c r="B86" i="18"/>
  <c r="A86" i="18"/>
  <c r="D85" i="18"/>
  <c r="C85" i="18"/>
  <c r="B85" i="18"/>
  <c r="A85" i="18"/>
  <c r="D84" i="18"/>
  <c r="C84" i="18"/>
  <c r="B84" i="18"/>
  <c r="A84" i="18"/>
  <c r="D83" i="18"/>
  <c r="C83" i="18"/>
  <c r="B83" i="18"/>
  <c r="A83" i="18"/>
  <c r="D82" i="18"/>
  <c r="C82" i="18"/>
  <c r="B82" i="18"/>
  <c r="A82" i="18"/>
  <c r="D81" i="18"/>
  <c r="C81" i="18"/>
  <c r="B81" i="18"/>
  <c r="A81" i="18"/>
  <c r="D80" i="18"/>
  <c r="C80" i="18"/>
  <c r="B80" i="18"/>
  <c r="A80" i="18"/>
  <c r="D79" i="18"/>
  <c r="C79" i="18"/>
  <c r="B79" i="18"/>
  <c r="A79" i="18"/>
  <c r="D78" i="18"/>
  <c r="C78" i="18"/>
  <c r="B78" i="18"/>
  <c r="A78" i="18"/>
  <c r="A76" i="18"/>
  <c r="B63" i="18"/>
  <c r="A63" i="18"/>
  <c r="B62" i="18"/>
  <c r="A62" i="18"/>
  <c r="B61" i="18"/>
  <c r="A61" i="18"/>
  <c r="B60" i="18"/>
  <c r="A60" i="18"/>
  <c r="B59" i="18"/>
  <c r="A59" i="18"/>
  <c r="B58" i="18"/>
  <c r="A58" i="18"/>
  <c r="C57" i="18"/>
  <c r="A57" i="18"/>
  <c r="H119" i="8" l="1"/>
  <c r="P57" i="15" l="1"/>
  <c r="P58" i="15"/>
  <c r="P59" i="15"/>
  <c r="P60" i="15"/>
  <c r="P61" i="15"/>
  <c r="P62" i="15"/>
  <c r="P63" i="15"/>
  <c r="P64" i="15"/>
  <c r="P65" i="15"/>
  <c r="P66" i="15"/>
  <c r="P67" i="15"/>
  <c r="P68" i="15"/>
  <c r="P69" i="15"/>
  <c r="P70" i="15"/>
  <c r="P56" i="15"/>
  <c r="P55" i="15"/>
  <c r="I6" i="8" l="1"/>
  <c r="F2" i="21" s="1"/>
  <c r="F6" i="8"/>
  <c r="F9" i="21" s="1"/>
  <c r="F153" i="21" l="1"/>
  <c r="F71" i="21"/>
  <c r="F112" i="21"/>
  <c r="F41" i="21"/>
  <c r="F10" i="18"/>
  <c r="F3" i="18"/>
  <c r="F115" i="18" l="1"/>
  <c r="F163" i="18"/>
  <c r="F41" i="18"/>
  <c r="F72" i="18"/>
  <c r="P74" i="15"/>
  <c r="P75" i="15"/>
  <c r="P76" i="15"/>
  <c r="P77" i="15"/>
  <c r="P78" i="15"/>
  <c r="P79" i="15"/>
  <c r="P80" i="15"/>
  <c r="P81" i="15"/>
  <c r="P82" i="15"/>
  <c r="P83" i="15"/>
  <c r="P84" i="15"/>
  <c r="P85" i="15"/>
  <c r="P86" i="15"/>
  <c r="P87" i="15"/>
  <c r="P88" i="15"/>
  <c r="P73" i="15"/>
  <c r="P72" i="15"/>
  <c r="P71" i="15"/>
  <c r="P38" i="15"/>
  <c r="P42" i="15"/>
  <c r="P43" i="15"/>
  <c r="P44" i="15"/>
  <c r="P45" i="15"/>
  <c r="P46" i="15"/>
  <c r="P47" i="15"/>
  <c r="P48" i="15"/>
  <c r="P49" i="15"/>
  <c r="P50" i="15"/>
  <c r="P51" i="15"/>
  <c r="P52" i="15"/>
  <c r="P53" i="15"/>
  <c r="P54" i="15"/>
  <c r="P40" i="15"/>
  <c r="P41" i="15"/>
  <c r="P39" i="15"/>
  <c r="I102" i="8"/>
  <c r="L32" i="8"/>
  <c r="I23" i="8"/>
  <c r="H78" i="8" s="1"/>
  <c r="B6" i="8"/>
  <c r="C7" i="21" s="1"/>
  <c r="A24" i="21" s="1"/>
  <c r="H6" i="8"/>
  <c r="G6" i="8"/>
  <c r="E6" i="8"/>
  <c r="A25" i="18" s="1"/>
  <c r="D6" i="8"/>
  <c r="C6" i="8"/>
  <c r="N28" i="15"/>
  <c r="I15" i="8"/>
  <c r="I14" i="8"/>
  <c r="C49" i="21" s="1"/>
  <c r="I13" i="8"/>
  <c r="C48" i="21" s="1"/>
  <c r="I12" i="8"/>
  <c r="C46" i="21" s="1"/>
  <c r="I11" i="8"/>
  <c r="I10" i="8"/>
  <c r="E34" i="8"/>
  <c r="B57" i="21" s="1"/>
  <c r="J25" i="8"/>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38" i="15"/>
  <c r="N29" i="15"/>
  <c r="N30" i="15"/>
  <c r="H22" i="8"/>
  <c r="N31" i="15"/>
  <c r="H23" i="8" s="1"/>
  <c r="B57" i="8" s="1"/>
  <c r="N32" i="15"/>
  <c r="H24" i="8" s="1"/>
  <c r="G23" i="8"/>
  <c r="J128" i="8" s="1"/>
  <c r="E26" i="8"/>
  <c r="D26" i="8"/>
  <c r="C26" i="8"/>
  <c r="B26" i="8"/>
  <c r="I24" i="8"/>
  <c r="I22" i="8"/>
  <c r="I21" i="8"/>
  <c r="F79" i="8" s="1"/>
  <c r="H21" i="8"/>
  <c r="B55" i="8" s="1"/>
  <c r="J24" i="8"/>
  <c r="J23" i="8"/>
  <c r="J22" i="8"/>
  <c r="J21" i="8"/>
  <c r="G24" i="8"/>
  <c r="J129" i="8" s="1"/>
  <c r="G21" i="8"/>
  <c r="F70" i="8" s="1"/>
  <c r="D15" i="8"/>
  <c r="C21" i="18" s="1"/>
  <c r="D14" i="8"/>
  <c r="D13" i="8"/>
  <c r="D12" i="8"/>
  <c r="C18" i="18" s="1"/>
  <c r="D11" i="8"/>
  <c r="D10" i="8"/>
  <c r="D9" i="8"/>
  <c r="Q74" i="15"/>
  <c r="Q75" i="15"/>
  <c r="Q76" i="15" s="1"/>
  <c r="Q77" i="15" s="1"/>
  <c r="Q78" i="15" s="1"/>
  <c r="Q79" i="15" s="1"/>
  <c r="Q80" i="15" s="1"/>
  <c r="Q81" i="15" s="1"/>
  <c r="Q82" i="15" s="1"/>
  <c r="Q83" i="15" s="1"/>
  <c r="Q84" i="15" s="1"/>
  <c r="Q85" i="15" s="1"/>
  <c r="Q86" i="15" s="1"/>
  <c r="Q87" i="15" s="1"/>
  <c r="Q88" i="15" s="1"/>
  <c r="Q56" i="15"/>
  <c r="Q57" i="15" s="1"/>
  <c r="Q58" i="15" s="1"/>
  <c r="Q59" i="15" s="1"/>
  <c r="Q60" i="15" s="1"/>
  <c r="Q61" i="15" s="1"/>
  <c r="Q62" i="15" s="1"/>
  <c r="Q63" i="15" s="1"/>
  <c r="Q64" i="15" s="1"/>
  <c r="Q65" i="15" s="1"/>
  <c r="Q66" i="15" s="1"/>
  <c r="Q67" i="15" s="1"/>
  <c r="Q68" i="15" s="1"/>
  <c r="Q69" i="15" s="1"/>
  <c r="Q70" i="15" s="1"/>
  <c r="Q39" i="15"/>
  <c r="Q40" i="15"/>
  <c r="Q41" i="15" s="1"/>
  <c r="Q42" i="15" s="1"/>
  <c r="Q43" i="15" s="1"/>
  <c r="Q44" i="15" s="1"/>
  <c r="Q45" i="15" s="1"/>
  <c r="Q46" i="15" s="1"/>
  <c r="Q47" i="15" s="1"/>
  <c r="Q48" i="15" s="1"/>
  <c r="Q49" i="15" s="1"/>
  <c r="Q50" i="15" s="1"/>
  <c r="Q51" i="15" s="1"/>
  <c r="Q52" i="15" s="1"/>
  <c r="Q53" i="15" s="1"/>
  <c r="Q54" i="15" s="1"/>
  <c r="L74" i="8"/>
  <c r="G26" i="8"/>
  <c r="G118" i="8" s="1"/>
  <c r="K118" i="8" s="1"/>
  <c r="J88" i="8"/>
  <c r="I88" i="8"/>
  <c r="H88" i="8"/>
  <c r="G88" i="8"/>
  <c r="F88" i="8"/>
  <c r="I64" i="8"/>
  <c r="I65" i="8" s="1"/>
  <c r="C37" i="21" s="1"/>
  <c r="G64" i="8"/>
  <c r="G65" i="8" s="1"/>
  <c r="B37" i="21" s="1"/>
  <c r="E64" i="8"/>
  <c r="E65" i="8" s="1"/>
  <c r="A37" i="21" s="1"/>
  <c r="I59" i="8"/>
  <c r="J59" i="8" s="1"/>
  <c r="I58" i="8"/>
  <c r="J58" i="8" s="1"/>
  <c r="I57" i="8"/>
  <c r="J57" i="8" s="1"/>
  <c r="I56" i="8"/>
  <c r="J56" i="8" s="1"/>
  <c r="I55" i="8"/>
  <c r="J55" i="8" s="1"/>
  <c r="D50" i="8"/>
  <c r="E50" i="8" s="1"/>
  <c r="C50" i="8"/>
  <c r="D49" i="8"/>
  <c r="E49" i="8" s="1"/>
  <c r="C49" i="8"/>
  <c r="D48" i="8"/>
  <c r="E48" i="8" s="1"/>
  <c r="C48" i="8"/>
  <c r="A46" i="8"/>
  <c r="D75" i="21" s="1"/>
  <c r="A45" i="8"/>
  <c r="C75" i="21" s="1"/>
  <c r="A44" i="8"/>
  <c r="B75" i="21" s="1"/>
  <c r="G37" i="8"/>
  <c r="F37" i="8"/>
  <c r="C62" i="21" s="1"/>
  <c r="E37" i="8"/>
  <c r="C61" i="21" s="1"/>
  <c r="D37" i="8"/>
  <c r="C60" i="21" s="1"/>
  <c r="C37" i="8"/>
  <c r="C59" i="21" s="1"/>
  <c r="G25" i="8" l="1"/>
  <c r="I25" i="8"/>
  <c r="H25" i="8"/>
  <c r="J127" i="8"/>
  <c r="G79" i="8"/>
  <c r="B56" i="8"/>
  <c r="A106" i="21" s="1"/>
  <c r="B59" i="8"/>
  <c r="C19" i="21"/>
  <c r="C20" i="18"/>
  <c r="C63" i="18"/>
  <c r="C63" i="21"/>
  <c r="A107" i="21"/>
  <c r="A99" i="21"/>
  <c r="A98" i="21"/>
  <c r="A105" i="21"/>
  <c r="A97" i="21"/>
  <c r="C17" i="18"/>
  <c r="C16" i="21"/>
  <c r="C17" i="21"/>
  <c r="C15" i="18"/>
  <c r="C14" i="21"/>
  <c r="C16" i="18"/>
  <c r="C15" i="21"/>
  <c r="C19" i="18"/>
  <c r="C18" i="21"/>
  <c r="C20" i="21"/>
  <c r="C10" i="18"/>
  <c r="C9" i="21"/>
  <c r="C7" i="18"/>
  <c r="C6" i="21"/>
  <c r="A25" i="21" s="1"/>
  <c r="C27" i="18"/>
  <c r="C27" i="21"/>
  <c r="C6" i="18"/>
  <c r="C5" i="21"/>
  <c r="F75" i="8"/>
  <c r="C8" i="18"/>
  <c r="I78" i="8"/>
  <c r="A97" i="18"/>
  <c r="A105" i="18"/>
  <c r="A96" i="18"/>
  <c r="D76" i="18"/>
  <c r="B76" i="18"/>
  <c r="B49" i="8"/>
  <c r="C76" i="18"/>
  <c r="G34" i="8"/>
  <c r="B57" i="18"/>
  <c r="C46" i="18"/>
  <c r="C48" i="18"/>
  <c r="C49" i="18"/>
  <c r="A103" i="18"/>
  <c r="A95" i="18"/>
  <c r="E38" i="8"/>
  <c r="C61" i="18"/>
  <c r="F38" i="8"/>
  <c r="C62" i="18"/>
  <c r="D38" i="8"/>
  <c r="C60" i="18"/>
  <c r="C38" i="8"/>
  <c r="C59" i="18"/>
  <c r="G38" i="8"/>
  <c r="C37" i="18"/>
  <c r="B37" i="18"/>
  <c r="A37" i="18"/>
  <c r="G80" i="8"/>
  <c r="B48" i="8"/>
  <c r="I80" i="8"/>
  <c r="G70" i="8"/>
  <c r="F48" i="8"/>
  <c r="G75" i="8"/>
  <c r="F78" i="8"/>
  <c r="J126" i="8"/>
  <c r="B50" i="8"/>
  <c r="H75" i="8"/>
  <c r="J75" i="8"/>
  <c r="I75" i="8"/>
  <c r="I79" i="8"/>
  <c r="H80" i="8"/>
  <c r="K56" i="8"/>
  <c r="B106" i="21" s="1"/>
  <c r="I70" i="8"/>
  <c r="H79" i="8"/>
  <c r="D57" i="8"/>
  <c r="C99" i="21" s="1"/>
  <c r="K57" i="8"/>
  <c r="B107" i="21" s="1"/>
  <c r="B58" i="8"/>
  <c r="K55" i="8"/>
  <c r="B105" i="21" s="1"/>
  <c r="D55" i="8"/>
  <c r="C97" i="21" s="1"/>
  <c r="G78" i="8"/>
  <c r="F80" i="8"/>
  <c r="H70" i="8"/>
  <c r="D56" i="8" l="1"/>
  <c r="C98" i="21" s="1"/>
  <c r="A104" i="18"/>
  <c r="A100" i="21"/>
  <c r="A108" i="21"/>
  <c r="A109" i="21"/>
  <c r="A101" i="21"/>
  <c r="H74" i="8"/>
  <c r="F74" i="8"/>
  <c r="C39" i="8"/>
  <c r="C64" i="18" s="1"/>
  <c r="K58" i="8"/>
  <c r="A98" i="18"/>
  <c r="A106" i="18"/>
  <c r="A99" i="18"/>
  <c r="A107" i="18"/>
  <c r="B105" i="18"/>
  <c r="B104" i="18"/>
  <c r="C96" i="18"/>
  <c r="C97" i="18"/>
  <c r="C95" i="18"/>
  <c r="B103" i="18"/>
  <c r="G81" i="8"/>
  <c r="G95" i="8" s="1"/>
  <c r="I81" i="8"/>
  <c r="I95" i="8" s="1"/>
  <c r="F81" i="8"/>
  <c r="F95" i="8" s="1"/>
  <c r="G74" i="8"/>
  <c r="I74" i="8"/>
  <c r="J74" i="8"/>
  <c r="E118" i="8"/>
  <c r="E119" i="8" s="1"/>
  <c r="E57" i="8"/>
  <c r="H81" i="8"/>
  <c r="H95" i="8" s="1"/>
  <c r="L56" i="8"/>
  <c r="D59" i="8"/>
  <c r="C101" i="21" s="1"/>
  <c r="K59" i="8"/>
  <c r="B109" i="21" s="1"/>
  <c r="L57" i="8"/>
  <c r="D58" i="8"/>
  <c r="C100" i="21" s="1"/>
  <c r="L55" i="8"/>
  <c r="J70" i="8"/>
  <c r="J130" i="8"/>
  <c r="J80" i="8"/>
  <c r="J78" i="8"/>
  <c r="J79" i="8"/>
  <c r="E55" i="8"/>
  <c r="E56" i="8" l="1"/>
  <c r="C64" i="21"/>
  <c r="B106" i="18"/>
  <c r="B108" i="21"/>
  <c r="J73" i="8"/>
  <c r="J76" i="8" s="1"/>
  <c r="L58" i="8"/>
  <c r="I73" i="8"/>
  <c r="I76" i="8" s="1"/>
  <c r="I90" i="8" s="1"/>
  <c r="G73" i="8"/>
  <c r="G76" i="8" s="1"/>
  <c r="G90" i="8" s="1"/>
  <c r="H73" i="8"/>
  <c r="H76" i="8" s="1"/>
  <c r="H83" i="8" s="1"/>
  <c r="A112" i="8" s="1"/>
  <c r="F73" i="8"/>
  <c r="B107" i="18"/>
  <c r="C99" i="18"/>
  <c r="C98" i="18"/>
  <c r="E58" i="8"/>
  <c r="L59" i="8"/>
  <c r="E59" i="8"/>
  <c r="J81" i="8"/>
  <c r="L88" i="8" l="1"/>
  <c r="L89" i="8"/>
  <c r="M88" i="8" s="1"/>
  <c r="F76" i="8"/>
  <c r="F90" i="8" s="1"/>
  <c r="J90" i="8"/>
  <c r="G83" i="8"/>
  <c r="G97" i="8" s="1"/>
  <c r="G100" i="8" s="1"/>
  <c r="G104" i="8" s="1"/>
  <c r="G105" i="8" s="1"/>
  <c r="I83" i="8"/>
  <c r="A113" i="8" s="1"/>
  <c r="C113" i="8" s="1"/>
  <c r="H90" i="8"/>
  <c r="H97" i="8" s="1"/>
  <c r="H100" i="8" s="1"/>
  <c r="H104" i="8" s="1"/>
  <c r="H105" i="8" s="1"/>
  <c r="C112" i="8"/>
  <c r="B112" i="8"/>
  <c r="J95" i="8"/>
  <c r="J83" i="8"/>
  <c r="C105" i="18" l="1"/>
  <c r="D105" i="18" s="1"/>
  <c r="C107" i="21"/>
  <c r="C104" i="18"/>
  <c r="D104" i="18" s="1"/>
  <c r="C106" i="21"/>
  <c r="F83" i="8"/>
  <c r="F97" i="8" s="1"/>
  <c r="I97" i="8"/>
  <c r="I100" i="8" s="1"/>
  <c r="I104" i="8" s="1"/>
  <c r="I105" i="8" s="1"/>
  <c r="B113" i="8"/>
  <c r="A111" i="8"/>
  <c r="B111" i="8" s="1"/>
  <c r="A114" i="8"/>
  <c r="J97" i="8"/>
  <c r="J100" i="8" s="1"/>
  <c r="C106" i="18" l="1"/>
  <c r="D106" i="18" s="1"/>
  <c r="C108" i="21"/>
  <c r="A110" i="8"/>
  <c r="C110" i="8" s="1"/>
  <c r="C111" i="8"/>
  <c r="F100" i="8"/>
  <c r="F104" i="8" s="1"/>
  <c r="F105" i="8" s="1"/>
  <c r="C105" i="21" s="1"/>
  <c r="J104" i="8"/>
  <c r="J105" i="8" s="1"/>
  <c r="B114" i="8"/>
  <c r="C114" i="8"/>
  <c r="C107" i="18" l="1"/>
  <c r="D107" i="18" s="1"/>
  <c r="C109" i="21"/>
  <c r="B110" i="8"/>
  <c r="B115" i="8" s="1"/>
  <c r="C103" i="18"/>
  <c r="D103" i="18" s="1"/>
  <c r="G119" i="8"/>
  <c r="C115" i="8"/>
  <c r="B119" i="8" s="1"/>
  <c r="G133" i="8" s="1"/>
  <c r="B117" i="8" l="1"/>
  <c r="D133" i="8" s="1"/>
  <c r="G114" i="8" l="1"/>
  <c r="G110" i="8"/>
  <c r="G112" i="8"/>
  <c r="G113" i="8"/>
  <c r="G111" i="8"/>
  <c r="B118" i="8"/>
  <c r="D113" i="8" s="1"/>
  <c r="E113" i="8" s="1"/>
  <c r="K129" i="8" s="1"/>
  <c r="G115" i="8" l="1"/>
  <c r="I118" i="8" s="1"/>
  <c r="I119" i="8" s="1"/>
  <c r="D114" i="8"/>
  <c r="E114" i="8" s="1"/>
  <c r="K130" i="8" s="1"/>
  <c r="D111" i="8"/>
  <c r="E111" i="8" s="1"/>
  <c r="K127" i="8" s="1"/>
  <c r="D110" i="8"/>
  <c r="E110" i="8" s="1"/>
  <c r="D112" i="8"/>
  <c r="E112" i="8" s="1"/>
  <c r="K128" i="8" s="1"/>
  <c r="D122" i="8" l="1"/>
  <c r="H139" i="8" s="1"/>
  <c r="H140" i="8" s="1"/>
  <c r="D123" i="8"/>
  <c r="F139" i="8" s="1"/>
  <c r="F140" i="8" s="1"/>
  <c r="K126" i="8"/>
  <c r="B149" i="18" l="1"/>
  <c r="B139" i="21"/>
  <c r="D149" i="18"/>
  <c r="D139" i="21"/>
  <c r="H123" i="8"/>
</calcChain>
</file>

<file path=xl/sharedStrings.xml><?xml version="1.0" encoding="utf-8"?>
<sst xmlns="http://schemas.openxmlformats.org/spreadsheetml/2006/main" count="882" uniqueCount="456">
  <si>
    <t>Clase</t>
  </si>
  <si>
    <t>Serial</t>
  </si>
  <si>
    <t>Certificado N°</t>
  </si>
  <si>
    <t>Fabricante</t>
  </si>
  <si>
    <t>Humedad relativa (%rH)</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</si>
  <si>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</si>
  <si>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</si>
  <si>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</si>
  <si>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</si>
  <si>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</si>
  <si>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</si>
  <si>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</si>
  <si>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</si>
  <si>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</si>
  <si>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</si>
  <si>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</si>
  <si>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</si>
  <si>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</si>
  <si>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</si>
  <si>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</si>
  <si>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</si>
  <si>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</si>
  <si>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</si>
  <si>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</si>
  <si>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Prueba de error de                  indicación (exactitud)</t>
  </si>
  <si>
    <t>Incertidumbre por pesas patrón</t>
  </si>
  <si>
    <t>incertidumbre                            por empuje</t>
  </si>
  <si>
    <t>Distribución</t>
  </si>
  <si>
    <t>Cargas de prueba (g)</t>
  </si>
  <si>
    <t>GRADOS EFECTIVOS DE LIBERTAD</t>
  </si>
  <si>
    <t>GRADOS EFECTIVOS DE LIBERTAD DEL ERROR</t>
  </si>
  <si>
    <t>FACTOR DE COBERTURA</t>
  </si>
  <si>
    <t>incertidumbre por                              deriva</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</si>
  <si>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</si>
  <si>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</si>
  <si>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</si>
  <si>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</si>
  <si>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</si>
  <si>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</si>
  <si>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</si>
  <si>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</si>
  <si>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</si>
  <si>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</si>
  <si>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</si>
  <si>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</si>
  <si>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</si>
  <si>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</si>
  <si>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Carga min (g)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</si>
  <si>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</si>
  <si>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</si>
  <si>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</si>
  <si>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</si>
  <si>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</si>
  <si>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</si>
  <si>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</si>
  <si>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</si>
  <si>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</si>
  <si>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</si>
  <si>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</si>
  <si>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</si>
  <si>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</si>
  <si>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</si>
  <si>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</si>
  <si>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</si>
  <si>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APROXIMACIÓN POR LÍNEA RECTA QUE CRUZA EN CERO</t>
  </si>
  <si>
    <t>INCERTIDUMBRE EXPANDIDA DE LOS ERRORES APROXIMADOS  U(Eappr)</t>
  </si>
  <si>
    <t>Carga (g)</t>
  </si>
  <si>
    <t xml:space="preserve">  + </t>
  </si>
  <si>
    <t>R (g)</t>
  </si>
  <si>
    <t>VALIDACIÓN   -   RESULTADOS</t>
  </si>
  <si>
    <t>U (E)  (mg) =</t>
  </si>
  <si>
    <t>x</t>
  </si>
  <si>
    <t>y</t>
  </si>
  <si>
    <t>Dirección</t>
  </si>
  <si>
    <t>Información del Cliente</t>
  </si>
  <si>
    <t xml:space="preserve">Dirección                       </t>
  </si>
  <si>
    <t xml:space="preserve">Ciudad                          </t>
  </si>
  <si>
    <t>Fecha de recepción</t>
  </si>
  <si>
    <t>Serie</t>
  </si>
  <si>
    <t>Fecha de calibración</t>
  </si>
  <si>
    <t>TEMPERATURA °C</t>
  </si>
  <si>
    <t>HUMEDAD RELATIVA % rH</t>
  </si>
  <si>
    <t>PRESIÓN ATMOSFÉRICA  hPa</t>
  </si>
  <si>
    <t>g</t>
  </si>
  <si>
    <t>Figura 1</t>
  </si>
  <si>
    <t>Prueba de excentricidad.</t>
  </si>
  <si>
    <t>INDICACIÓN g</t>
  </si>
  <si>
    <t>Prueba de repetibilidad.</t>
  </si>
  <si>
    <t>La incertidumbre estándar del error obtenida durante el ejercicio de calibración, debe incrementarse por la adición de la incertidumbre estándar de la lectura, ver modelo.</t>
  </si>
  <si>
    <t>s (R )</t>
  </si>
  <si>
    <t>Desviación estándar del usuario</t>
  </si>
  <si>
    <t>d</t>
  </si>
  <si>
    <t>Resolución de la balanza</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</si>
  <si>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</si>
  <si>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</si>
  <si>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</si>
  <si>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</si>
  <si>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</si>
  <si>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</si>
  <si>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</si>
  <si>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</si>
  <si>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</si>
  <si>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</si>
  <si>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Grados efectivos de libertad   Ʋ= n-3</t>
  </si>
  <si>
    <t>y = m x   +   b</t>
  </si>
  <si>
    <t>u2(a1) =</t>
  </si>
  <si>
    <t xml:space="preserve">  la  pendiente</t>
  </si>
  <si>
    <t>punto  de  corte</t>
  </si>
  <si>
    <t>N=</t>
  </si>
  <si>
    <t xml:space="preserve">Observaciones </t>
  </si>
  <si>
    <t>Calibrado por</t>
  </si>
  <si>
    <t>según certificado</t>
  </si>
  <si>
    <t xml:space="preserve">Escalón de verificación    </t>
  </si>
  <si>
    <t xml:space="preserve">    ______________________________</t>
  </si>
  <si>
    <t>E (R)  (mg) =</t>
  </si>
  <si>
    <t>………………………………..FIN DE ESTE DOCUMENTO………………………………..</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</si>
  <si>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</si>
  <si>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</si>
  <si>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</si>
  <si>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</si>
  <si>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min X2 = min Chi</t>
    </r>
    <r>
      <rPr>
        <b/>
        <i/>
        <vertAlign val="superscript"/>
        <sz val="11"/>
        <rFont val="Arial"/>
        <family val="2"/>
      </rPr>
      <t>2</t>
    </r>
  </si>
  <si>
    <r>
      <t>min X</t>
    </r>
    <r>
      <rPr>
        <b/>
        <i/>
        <vertAlign val="superscript"/>
        <sz val="11"/>
        <color theme="0"/>
        <rFont val="Arial"/>
        <family val="2"/>
      </rPr>
      <t>2</t>
    </r>
    <r>
      <rPr>
        <b/>
        <i/>
        <sz val="11"/>
        <color theme="0"/>
        <rFont val="Arial"/>
        <family val="2"/>
      </rPr>
      <t xml:space="preserve">  =</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</si>
  <si>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</si>
  <si>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</si>
  <si>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0"/>
        <rFont val="Arial"/>
        <family val="2"/>
      </rPr>
      <t>2</t>
    </r>
    <r>
      <rPr>
        <b/>
        <i/>
        <sz val="11"/>
        <color theme="0"/>
        <rFont val="Arial"/>
        <family val="2"/>
      </rPr>
      <t>(R) =</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</si>
  <si>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</si>
  <si>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</si>
  <si>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</si>
  <si>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</si>
  <si>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</si>
  <si>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</si>
  <si>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</si>
  <si>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</si>
  <si>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</si>
  <si>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</si>
  <si>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Certificado</t>
  </si>
  <si>
    <t>Pesas</t>
  </si>
  <si>
    <t>Marcación</t>
  </si>
  <si>
    <t>Valor nominal (g)</t>
  </si>
  <si>
    <t>Error (mg)</t>
  </si>
  <si>
    <t>Incertidumbre de calibración (mg)</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</si>
  <si>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</si>
  <si>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</si>
  <si>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</si>
  <si>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</si>
  <si>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</si>
  <si>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</si>
  <si>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</si>
  <si>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</si>
  <si>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</si>
  <si>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</si>
  <si>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</si>
  <si>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</si>
  <si>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</si>
  <si>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</si>
  <si>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</si>
  <si>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</si>
  <si>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</si>
  <si>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</si>
  <si>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</si>
  <si>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</si>
  <si>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</si>
  <si>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</si>
  <si>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</si>
  <si>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</si>
  <si>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</si>
  <si>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</si>
  <si>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</si>
  <si>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</si>
  <si>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</si>
  <si>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</si>
  <si>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</si>
  <si>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</si>
  <si>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</si>
  <si>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</si>
  <si>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</si>
  <si>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</si>
  <si>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</si>
  <si>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</si>
  <si>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</si>
  <si>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</si>
  <si>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</si>
  <si>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</si>
  <si>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</si>
  <si>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</si>
  <si>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</si>
  <si>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</si>
  <si>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</si>
  <si>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</si>
  <si>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</si>
  <si>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</si>
  <si>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</si>
  <si>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</si>
  <si>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</si>
  <si>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</si>
  <si>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</si>
  <si>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</si>
  <si>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</si>
  <si>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</si>
  <si>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</si>
  <si>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</si>
  <si>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</si>
  <si>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</si>
  <si>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</si>
  <si>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AV</t>
  </si>
  <si>
    <t>Arcesio Velandia Carreño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</si>
  <si>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</si>
  <si>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</si>
  <si>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</si>
  <si>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</si>
  <si>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</si>
  <si>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</si>
  <si>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</si>
  <si>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</si>
  <si>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</si>
  <si>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</si>
  <si>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</si>
  <si>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</si>
  <si>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</si>
  <si>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</si>
  <si>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</si>
  <si>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</si>
  <si>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</si>
  <si>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</si>
  <si>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</si>
  <si>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</si>
  <si>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</si>
  <si>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</si>
  <si>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</si>
  <si>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</si>
  <si>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</si>
  <si>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</si>
  <si>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</si>
  <si>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</si>
  <si>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</si>
  <si>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</si>
  <si>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</si>
  <si>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</si>
  <si>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</si>
  <si>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</si>
  <si>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</si>
  <si>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</si>
  <si>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</si>
  <si>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</si>
  <si>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</si>
  <si>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</si>
  <si>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</si>
  <si>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r>
      <t>Densidad del aire kg/m</t>
    </r>
    <r>
      <rPr>
        <b/>
        <vertAlign val="superscript"/>
        <sz val="12"/>
        <rFont val="Arial"/>
        <family val="2"/>
      </rPr>
      <t>3</t>
    </r>
  </si>
  <si>
    <t>ERROR (g)</t>
  </si>
  <si>
    <t>Carga máx. (g)</t>
  </si>
  <si>
    <t>DATOS TERMOHIGRÓMETRO - BARÓMETRO</t>
  </si>
  <si>
    <t>Fecha Certificado</t>
  </si>
  <si>
    <t>M-010</t>
  </si>
  <si>
    <t>Incertidumbre   U=(k=2)</t>
  </si>
  <si>
    <t xml:space="preserve">M-012  </t>
  </si>
  <si>
    <t>°C</t>
  </si>
  <si>
    <t>%Rh</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</si>
  <si>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</si>
  <si>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</si>
  <si>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</si>
  <si>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</si>
  <si>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</si>
  <si>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</si>
  <si>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</si>
  <si>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</si>
  <si>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</si>
  <si>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</si>
  <si>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</si>
  <si>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(mg)</t>
  </si>
  <si>
    <t>INCERTIDUMBRE EXPANDIDA (g)</t>
  </si>
  <si>
    <t xml:space="preserve">Promedio Condiciones Ambientales </t>
  </si>
  <si>
    <t>Promedio Condiciones Ambientales Corregidas</t>
  </si>
  <si>
    <t>K</t>
  </si>
  <si>
    <t>Nivel de Confianza</t>
  </si>
  <si>
    <r>
      <t xml:space="preserve">Hora </t>
    </r>
    <r>
      <rPr>
        <b/>
        <sz val="12"/>
        <rFont val="Arial"/>
        <family val="2"/>
      </rPr>
      <t>final</t>
    </r>
  </si>
  <si>
    <t>Hora inicial</t>
  </si>
  <si>
    <t>U (E)  (g) =</t>
  </si>
  <si>
    <t>masa para completar la carga  Max (g)</t>
  </si>
  <si>
    <t>HOJA DE CÁLCULO PARA CALIBRACIÓN DE BALANZAS</t>
  </si>
  <si>
    <t>Metrólogo</t>
  </si>
  <si>
    <t>INM</t>
  </si>
  <si>
    <t>1393 DK</t>
  </si>
  <si>
    <t>1402 DK</t>
  </si>
  <si>
    <t>1396 DK</t>
  </si>
  <si>
    <t>1392 DK</t>
  </si>
  <si>
    <t>R (mg)</t>
  </si>
  <si>
    <t>E (R)  (g) =</t>
  </si>
  <si>
    <t>Patrón Utilizado en la Calibración - Termo higrómetros</t>
  </si>
  <si>
    <t>Código Interno</t>
  </si>
  <si>
    <t>Presión Atmosférica</t>
  </si>
  <si>
    <t>Metrólogos</t>
  </si>
  <si>
    <t>Carga Max (g)</t>
  </si>
  <si>
    <t xml:space="preserve">División de Escala (d)  (g)  </t>
  </si>
  <si>
    <t>N °  Certificado Adherido</t>
  </si>
  <si>
    <t xml:space="preserve">Solicitante                    </t>
  </si>
  <si>
    <t>INCERTIDUMBRE ESTÁNDAR MASA DE REFERENCIA   (mg)</t>
  </si>
  <si>
    <t>INCERTIDUMBRE ESTÁNDAR DEL ERROR   (mg)</t>
  </si>
  <si>
    <t>APROXIMACION POR LINEA RECTA QUE CRUZA POR CERO PARA EL ERROR   (mg)</t>
  </si>
  <si>
    <t>1405 DK</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</si>
  <si>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</si>
  <si>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</si>
  <si>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</si>
  <si>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</si>
  <si>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</si>
  <si>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</si>
  <si>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</si>
  <si>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Medición en condición de calibración</t>
  </si>
  <si>
    <t>REPETICIÓN. N°</t>
  </si>
  <si>
    <t xml:space="preserve"> Certificado N°</t>
  </si>
  <si>
    <t xml:space="preserve"> Fecha de elaboración: </t>
  </si>
  <si>
    <t>DESPUÉS DE AJUSTE</t>
  </si>
  <si>
    <t>°C m</t>
  </si>
  <si>
    <t>°C b</t>
  </si>
  <si>
    <t>%rH m</t>
  </si>
  <si>
    <t>%rH b</t>
  </si>
  <si>
    <t>hPa m</t>
  </si>
  <si>
    <t>hPa b</t>
  </si>
  <si>
    <t xml:space="preserve"> Director Técnico </t>
  </si>
  <si>
    <t xml:space="preserve"> Metrólogo de Masa y Volumen</t>
  </si>
  <si>
    <t xml:space="preserve"> Sustituto del Director Técnico </t>
  </si>
  <si>
    <r>
      <t xml:space="preserve">Unidades en   " °C ,  rH%  </t>
    </r>
    <r>
      <rPr>
        <sz val="14"/>
        <color theme="0"/>
        <rFont val="Arial"/>
        <family val="2"/>
      </rPr>
      <t>y</t>
    </r>
    <r>
      <rPr>
        <b/>
        <sz val="14"/>
        <color theme="0"/>
        <rFont val="Arial"/>
        <family val="2"/>
      </rPr>
      <t xml:space="preserve"> hPa " </t>
    </r>
    <r>
      <rPr>
        <sz val="14"/>
        <color theme="0"/>
        <rFont val="Arial"/>
        <family val="2"/>
      </rPr>
      <t xml:space="preserve"> según corresponda</t>
    </r>
  </si>
  <si>
    <t>E2   2 g AKJ</t>
  </si>
  <si>
    <t>E2   20 g AKA</t>
  </si>
  <si>
    <t>E2   200 g ALW</t>
  </si>
  <si>
    <t>E2   2000 g ABY</t>
  </si>
  <si>
    <t>u (mg)</t>
  </si>
  <si>
    <t>Intervalo de Medición (g) e incertidumbre expandida U</t>
  </si>
  <si>
    <t>Masa  Convencional (g)</t>
  </si>
  <si>
    <t>Error de Indicación en (g)</t>
  </si>
  <si>
    <t>Indicación 1 (g)</t>
  </si>
  <si>
    <t>La prueba para los errores de las indicaciones se realizó según el numeral  5,2. de la Guía SIM MWG7/cg-01/v.00.</t>
  </si>
  <si>
    <t xml:space="preserve">
</t>
  </si>
  <si>
    <t>Incertidumbre dominante</t>
  </si>
  <si>
    <t>SI</t>
  </si>
  <si>
    <t>≤ 0,3</t>
  </si>
  <si>
    <t>K=1,65</t>
  </si>
  <si>
    <t>Resultado</t>
  </si>
  <si>
    <r>
      <rPr>
        <b/>
        <i/>
        <sz val="12"/>
        <rFont val="Tahoma"/>
        <family val="2"/>
      </rPr>
      <t>≥</t>
    </r>
    <r>
      <rPr>
        <b/>
        <i/>
        <sz val="12"/>
        <rFont val="Arial"/>
        <family val="2"/>
      </rPr>
      <t xml:space="preserve"> 0,3</t>
    </r>
  </si>
  <si>
    <t>K= 2,0</t>
  </si>
  <si>
    <t>Condicional incertidumbre dominante</t>
  </si>
  <si>
    <t>1.   INFORMACIÓN DEL EQUIPO SOMETIDO A CALIBRACIÓN</t>
  </si>
  <si>
    <t xml:space="preserve">Balanza </t>
  </si>
  <si>
    <t>2.   LUGAR Y DIRECCIÓN DE CALIBRACIÓN</t>
  </si>
  <si>
    <t>3.   CÓDIGO INTERNO</t>
  </si>
  <si>
    <t>4. MÉTODO DE CALIBRACIÓN UTILIZADO</t>
  </si>
  <si>
    <t>5.   CONDICIONES AMBIENTALES CORREGIDAS.</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</si>
  <si>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</si>
  <si>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</si>
  <si>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</si>
  <si>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</si>
  <si>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</si>
  <si>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</si>
  <si>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</si>
  <si>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</si>
  <si>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Masa Convencional (g)</t>
  </si>
  <si>
    <t>Nombre del Metrólogo</t>
  </si>
  <si>
    <r>
      <rPr>
        <b/>
        <i/>
        <sz val="12"/>
        <rFont val="Arial"/>
        <family val="2"/>
      </rPr>
      <t>W</t>
    </r>
    <r>
      <rPr>
        <sz val="12"/>
        <rFont val="Arial"/>
        <family val="2"/>
      </rPr>
      <t xml:space="preserve"> </t>
    </r>
    <r>
      <rPr>
        <b/>
        <i/>
        <sz val="12"/>
        <rFont val="Arial"/>
        <family val="2"/>
      </rPr>
      <t>*</t>
    </r>
  </si>
  <si>
    <t xml:space="preserve">División de escala          </t>
  </si>
  <si>
    <t>En la calibración se utilizo el método establecido en el documento normativo guía para la calibración de los instrumentos para pesaje de funcionamiento no automático (SIM MWG7/cg-01v.00) .</t>
  </si>
  <si>
    <t>±U (g)</t>
  </si>
  <si>
    <t>6.   TRAZABILIDAD METROLÓGICA</t>
  </si>
  <si>
    <t>Intervalo</t>
  </si>
  <si>
    <t>Clase de Pesas</t>
  </si>
  <si>
    <t>Pesas Utilizadas</t>
  </si>
  <si>
    <t>Esta prueba evalúa las indicaciones de una misma carga ubicada en diferentes posiciones del receptor de carga (figura 1), se realizó con (1/3) un tercio de la carga máxima de acuerdo a la Guía SIM MWG7/cg-01/v.00, numeral 5.3.</t>
  </si>
  <si>
    <t>La incertidumbre reportada se ha determinado multiplicando la incertidumbre estándar combinada, por el factor de cobertura K=2,0 con el cual se logra un nivel de confianza de aproximadamente 95,45%, teniendo en cuenta lo definido en la guía para estimar la incertidumbre de la medición.</t>
  </si>
  <si>
    <r>
      <rPr>
        <b/>
        <sz val="9"/>
        <rFont val="Arial"/>
        <family val="2"/>
      </rPr>
      <t>NOTA</t>
    </r>
    <r>
      <rPr>
        <sz val="9"/>
        <rFont val="Arial"/>
        <family val="2"/>
      </rPr>
      <t>: Las condiciones ambientales se refieren al   inicio , durante y al final de la calibración.</t>
    </r>
  </si>
  <si>
    <t>No. Certificado</t>
  </si>
  <si>
    <t xml:space="preserve">Escalón de Verificaciónen  (g)  </t>
  </si>
  <si>
    <t>Objeto:</t>
  </si>
  <si>
    <t xml:space="preserve">Fabricante: </t>
  </si>
  <si>
    <t>Numero de serie:</t>
  </si>
  <si>
    <t>Modelo:</t>
  </si>
  <si>
    <t xml:space="preserve">Carga Máx.:                      </t>
  </si>
  <si>
    <t xml:space="preserve">Carga Mín.:                       </t>
  </si>
  <si>
    <t xml:space="preserve">División de escala:         </t>
  </si>
  <si>
    <t xml:space="preserve">Escalón de verificación: </t>
  </si>
  <si>
    <t>Fabricante:</t>
  </si>
  <si>
    <t>Número de serie:</t>
  </si>
  <si>
    <t>Modificación al Certificado N°</t>
  </si>
  <si>
    <t xml:space="preserve"> Modificación al Certificado N°</t>
  </si>
  <si>
    <t>• En el presente certificado se usa la coma (,) como separador decimal.</t>
  </si>
  <si>
    <t>INM 3998</t>
  </si>
  <si>
    <t>INM 4006</t>
  </si>
  <si>
    <t>INM 2313</t>
  </si>
  <si>
    <t>21/05/2019 / - 23/05/2019 -    15/05/2019</t>
  </si>
  <si>
    <t>INM  3998- 4006-2313</t>
  </si>
  <si>
    <t>INM 3997</t>
  </si>
  <si>
    <t>INM 4005</t>
  </si>
  <si>
    <t>INM 2316</t>
  </si>
  <si>
    <t>21/05/2019 /- 23/05/2019 -/  02/05/2019</t>
  </si>
  <si>
    <t>INM-3997, INM 4005 - INM 2316</t>
  </si>
  <si>
    <t>INM 3985</t>
  </si>
  <si>
    <t>INM 3987</t>
  </si>
  <si>
    <t>INM - 2314</t>
  </si>
  <si>
    <t>14/05/2019- 15/05/2019    15/05/2019</t>
  </si>
  <si>
    <t>INM 3985 - INM 3987 -   INM 2314</t>
  </si>
  <si>
    <t>INM 3986</t>
  </si>
  <si>
    <t>INM 3988</t>
  </si>
  <si>
    <t>INM 2315</t>
  </si>
  <si>
    <t>14/05/2019 -/  15/05/2019 -   15/05/2019</t>
  </si>
  <si>
    <t>INM-39864-INM 3988-INM 2315</t>
  </si>
  <si>
    <t>5 g a 5 kg</t>
  </si>
  <si>
    <r>
      <rPr>
        <b/>
        <i/>
        <sz val="12"/>
        <color theme="1"/>
        <rFont val="Arial"/>
        <family val="2"/>
      </rPr>
      <t>W</t>
    </r>
    <r>
      <rPr>
        <sz val="12"/>
        <color theme="1"/>
        <rFont val="Arial"/>
        <family val="2"/>
      </rPr>
      <t xml:space="preserve"> </t>
    </r>
    <r>
      <rPr>
        <b/>
        <i/>
        <sz val="12"/>
        <color theme="1"/>
        <rFont val="Arial"/>
        <family val="2"/>
      </rPr>
      <t>*</t>
    </r>
  </si>
  <si>
    <t>Esta prueba evalúa las indicaciones de una misma carga ubicada en diferentes posiciones del receptor de carga (figura 1), se realizó con las indicaciones consideradas por el fabricante de acuerdo a la Guía SIM MWG7/cg-01/v.00, numeral 5.3.</t>
  </si>
  <si>
    <t>5 g, 1 kg, 2 kg y 5 kg</t>
  </si>
  <si>
    <t>Lugar y dirección de Calibración</t>
  </si>
  <si>
    <t>"La incertidumbre expandida de la medición reportada se establece como la incertidumbre estándar de medición multiplicada por el factor de cobertura "k" y la probabilidad de cobertura,  la cual debe ser aproximada al 95% y no menor a este valor".</t>
  </si>
  <si>
    <t>• Este certificado de calibración no puede ser reproducido parcial ni totalmente, excepto con la autorización del Laboratorio de la Superintendencia de   Industria y Comercio.</t>
  </si>
  <si>
    <t>En la calibración se utilizó el método establecido en el documento normativo guía para la calibración de los instrumentos para pesaje de funcionamiento no automático (SIM MWG7/cg-01v.00) .</t>
  </si>
  <si>
    <r>
      <rPr>
        <b/>
        <sz val="9"/>
        <color theme="1"/>
        <rFont val="Arial"/>
        <family val="2"/>
      </rPr>
      <t>NOTA</t>
    </r>
    <r>
      <rPr>
        <sz val="9"/>
        <color theme="1"/>
        <rFont val="Arial"/>
        <family val="2"/>
      </rPr>
      <t>: Las condiciones ambientales se refieren al inicio, durante y al final de la calibración.</t>
    </r>
  </si>
  <si>
    <t>• Los resultados obtenidos en esta calibración, aplican a la información del equipo descrito en el numeral uno (1) del presente certificado.</t>
  </si>
  <si>
    <t>• Los resultados obtenidos en el presente certificado se refieren al momento y condiciones en que se realizaron las mediciones.</t>
  </si>
  <si>
    <t>• Los laboratorios de la Superintendencia de Industria y Comercio no se responsabilizan de los perjuicios que puedan derivarsen del uso inadecuado del equipo calibrado.</t>
  </si>
  <si>
    <t>• Se adhiere al equipo calibrado una estampilla identificada con el número del certificado.</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</si>
  <si>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</si>
  <si>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</si>
  <si>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</si>
  <si>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</si>
  <si>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</si>
  <si>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</si>
  <si>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</si>
  <si>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</si>
  <si>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</si>
  <si>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</si>
  <si>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</si>
  <si>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</si>
  <si>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</si>
  <si>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</si>
  <si>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</si>
  <si>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</si>
  <si>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</si>
  <si>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</si>
  <si>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</si>
  <si>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</si>
  <si>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</si>
  <si>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1519 DK</t>
  </si>
  <si>
    <t>Juego viajeras  V2</t>
  </si>
  <si>
    <t>Juego Viajeras V1</t>
  </si>
  <si>
    <t>INM 4216</t>
  </si>
  <si>
    <t>INM 4217</t>
  </si>
  <si>
    <t>INM 2346</t>
  </si>
  <si>
    <t>2019-09-24 - / 2019-09-25 -    2019-08-25</t>
  </si>
  <si>
    <t>INM 4216 - INM 4217 -  INM 2346</t>
  </si>
  <si>
    <t xml:space="preserve">Carga </t>
  </si>
  <si>
    <t>Valor Nominal</t>
  </si>
  <si>
    <t>Carga Baja</t>
  </si>
  <si>
    <t>Carga Mdia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</si>
  <si>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</si>
  <si>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</si>
  <si>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</si>
  <si>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r>
      <rPr>
        <b/>
        <sz val="12"/>
        <color theme="1"/>
        <rFont val="Tahoma"/>
        <family val="2"/>
      </rPr>
      <t>±</t>
    </r>
    <r>
      <rPr>
        <b/>
        <sz val="12"/>
        <color theme="1"/>
        <rFont val="Arial"/>
        <family val="2"/>
      </rPr>
      <t>(EMP) en Uso</t>
    </r>
  </si>
  <si>
    <t>LCB -</t>
  </si>
  <si>
    <t>• El certificado de calibración sin las firmas autorizadas no es valido.</t>
  </si>
  <si>
    <r>
      <t xml:space="preserve">5 g </t>
    </r>
    <r>
      <rPr>
        <sz val="9"/>
        <color theme="0"/>
        <rFont val="Tahoma"/>
        <family val="2"/>
      </rPr>
      <t>≤</t>
    </r>
    <r>
      <rPr>
        <sz val="9"/>
        <color theme="0"/>
        <rFont val="Arial"/>
        <family val="2"/>
      </rPr>
      <t xml:space="preserve"> m ≤   5 000 g</t>
    </r>
  </si>
  <si>
    <r>
      <t xml:space="preserve">5 000 g </t>
    </r>
    <r>
      <rPr>
        <sz val="9"/>
        <color theme="0"/>
        <rFont val="Tahoma"/>
        <family val="2"/>
      </rPr>
      <t>≤</t>
    </r>
    <r>
      <rPr>
        <sz val="9"/>
        <color theme="0"/>
        <rFont val="Arial"/>
        <family val="2"/>
      </rPr>
      <t xml:space="preserve"> m ≤ 8 200 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</si>
</sst>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0"/>
    <numFmt numFmtId="173" formatCode="0.00000000"/>
    <numFmt numFmtId="174" formatCode="0.000E+00"/>
    <numFmt numFmtId="175" formatCode="0_ &quot;g&quot;"/>
    <numFmt numFmtId="176" formatCode="h:mm:ss;@"/>
    <numFmt numFmtId="177" formatCode="0_ &quot;mN&quot;"/>
    <numFmt numFmtId="178" formatCode="#,##0.0"/>
    <numFmt numFmtId="179" formatCode="#,##0.000"/>
    <numFmt numFmtId="180" formatCode="0.000_ &quot;g&quot;"/>
    <numFmt numFmtId="181" formatCode="0\ 000.0000"/>
    <numFmt numFmtId="182" formatCode="0\ 000"/>
    <numFmt numFmtId="183" formatCode="0\ 000\ .0"/>
    <numFmt numFmtId="184" formatCode="0\ 000.00000"/>
    <numFmt numFmtId="185" formatCode="0\ 000.00"/>
    <numFmt numFmtId="186" formatCode="\ 0\ 000\ 000.00"/>
    <numFmt numFmtId="187" formatCode="\ 0\ 000.0"/>
    <numFmt numFmtId="188" formatCode="#\ ##0"/>
    <numFmt numFmtId="189" formatCode="0.0_ &quot;g&quot;"/>
    <numFmt numFmtId="190" formatCode="0.\ 000\ &quot;g&quot;"/>
    <numFmt numFmtId="191" formatCode="0\ 000\ &quot;g&quot;"/>
    <numFmt numFmtId="192" formatCode="#\ ##0\ .0000"/>
    <numFmt numFmtId="193" formatCode="#\ ##0.0"/>
    <numFmt numFmtId="194" formatCode="##\ ##0.0"/>
    <numFmt numFmtId="195" formatCode="###\ ##0.0"/>
    <numFmt numFmtId="196" formatCode="#.\ ##0;\-#"/>
  </numFmts>
  <fonts count="64"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1"/>
      <color theme="0" tint="-4.9989318521683403E-2"/>
      <name val="Arial"/>
      <family val="2"/>
    </font>
    <font>
      <b/>
      <sz val="10"/>
      <name val="Arial"/>
      <family val="2"/>
    </font>
    <font>
      <b/>
      <i/>
      <sz val="11"/>
      <color theme="1"/>
      <name val="Arial"/>
      <family val="2"/>
    </font>
    <font>
      <b/>
      <i/>
      <vertAlign val="superscript"/>
      <sz val="11"/>
      <color theme="1"/>
      <name val="Arial"/>
      <family val="2"/>
    </font>
    <font>
      <b/>
      <i/>
      <vertAlign val="superscript"/>
      <sz val="11"/>
      <name val="Arial"/>
      <family val="2"/>
    </font>
    <font>
      <b/>
      <i/>
      <sz val="11"/>
      <color theme="0"/>
      <name val="Arial"/>
      <family val="2"/>
    </font>
    <font>
      <b/>
      <i/>
      <vertAlign val="superscript"/>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sz val="8"/>
      <name val="Arial"/>
      <family val="2"/>
    </font>
    <font>
      <sz val="9"/>
      <name val="Arial"/>
      <family val="2"/>
    </font>
    <font>
      <b/>
      <sz val="9"/>
      <name val="Arial"/>
      <family val="2"/>
    </font>
    <font>
      <b/>
      <i/>
      <sz val="14"/>
      <name val="Arial"/>
      <family val="2"/>
    </font>
    <font>
      <sz val="18"/>
      <name val="Arial"/>
      <family val="2"/>
    </font>
    <font>
      <sz val="12"/>
      <color theme="0"/>
      <name val="Arial"/>
      <family val="2"/>
    </font>
    <font>
      <b/>
      <i/>
      <sz val="12"/>
      <color theme="0"/>
      <name val="Arial"/>
      <family val="2"/>
    </font>
    <font>
      <b/>
      <sz val="12"/>
      <color theme="1"/>
      <name val="Arial"/>
      <family val="2"/>
    </font>
    <font>
      <sz val="9"/>
      <color theme="1"/>
      <name val="Arial"/>
      <family val="2"/>
    </font>
    <font>
      <b/>
      <i/>
      <sz val="14"/>
      <color theme="1"/>
      <name val="Arial"/>
      <family val="2"/>
    </font>
    <font>
      <sz val="18"/>
      <color theme="1"/>
      <name val="Arial"/>
      <family val="2"/>
    </font>
    <font>
      <b/>
      <sz val="8"/>
      <color theme="1"/>
      <name val="Arial"/>
      <family val="2"/>
    </font>
    <font>
      <b/>
      <sz val="8"/>
      <color theme="0"/>
      <name val="Arial"/>
      <family val="2"/>
    </font>
    <font>
      <b/>
      <i/>
      <sz val="11"/>
      <color rgb="FF222222"/>
      <name val="Arial"/>
      <family val="2"/>
    </font>
    <font>
      <b/>
      <sz val="12"/>
      <color theme="1"/>
      <name val="Tahoma"/>
      <family val="2"/>
    </font>
    <font>
      <sz val="9"/>
      <color theme="0"/>
      <name val="Arial"/>
      <family val="2"/>
    </font>
    <font>
      <sz val="9"/>
      <color theme="0"/>
      <name val="Tahoma"/>
      <family val="2"/>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FFC0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4" borderId="5" applyFont="0" applyBorder="0" applyAlignment="0">
      <alignment horizontal="center" vertical="center" wrapText="1"/>
      <protection locked="0"/>
    </xf>
    <xf numFmtId="0" fontId="6" fillId="15" borderId="1" applyBorder="0">
      <alignment horizontal="center" vertical="center"/>
    </xf>
  </cellStyleXfs>
  <cellXfs count="1335">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7"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7" fillId="6" borderId="34" xfId="0" applyNumberFormat="1" applyFont="1" applyFill="1" applyBorder="1" applyAlignment="1" applyProtection="1">
      <alignment horizontal="center" vertical="center" wrapText="1"/>
      <protection hidden="1"/>
    </xf>
    <xf numFmtId="2" fontId="13" fillId="0" borderId="0" xfId="0" applyNumberFormat="1" applyFont="1" applyFill="1" applyBorder="1" applyAlignment="1" applyProtection="1">
      <alignment vertical="center" wrapText="1"/>
      <protection hidden="1"/>
    </xf>
    <xf numFmtId="2" fontId="7" fillId="6" borderId="36" xfId="0" applyNumberFormat="1" applyFont="1" applyFill="1" applyBorder="1" applyAlignment="1" applyProtection="1">
      <alignment horizontal="center" vertical="center"/>
      <protection hidden="1"/>
    </xf>
    <xf numFmtId="1" fontId="7" fillId="9" borderId="36"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2" fontId="14" fillId="3" borderId="9" xfId="0" applyNumberFormat="1" applyFont="1" applyFill="1" applyBorder="1" applyAlignment="1" applyProtection="1">
      <alignment horizontal="center" vertical="center"/>
      <protection hidden="1"/>
    </xf>
    <xf numFmtId="2" fontId="15" fillId="3" borderId="11" xfId="0" applyNumberFormat="1" applyFont="1" applyFill="1" applyBorder="1" applyAlignment="1" applyProtection="1">
      <alignment horizontal="center" vertical="center" wrapText="1"/>
      <protection hidden="1"/>
    </xf>
    <xf numFmtId="169" fontId="9" fillId="9" borderId="1" xfId="0" applyNumberFormat="1" applyFont="1" applyFill="1" applyBorder="1" applyAlignment="1" applyProtection="1">
      <alignment horizontal="center" vertical="center"/>
      <protection hidden="1"/>
    </xf>
    <xf numFmtId="2" fontId="9" fillId="9" borderId="1" xfId="0" applyNumberFormat="1" applyFont="1" applyFill="1" applyBorder="1" applyAlignment="1" applyProtection="1">
      <alignment horizont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 fontId="7" fillId="9" borderId="20" xfId="0" applyNumberFormat="1" applyFont="1" applyFill="1" applyBorder="1" applyAlignment="1" applyProtection="1">
      <alignment horizontal="center" vertical="center"/>
      <protection hidden="1"/>
    </xf>
    <xf numFmtId="165" fontId="8" fillId="9" borderId="18" xfId="0" applyNumberFormat="1" applyFont="1" applyFill="1" applyBorder="1" applyAlignment="1" applyProtection="1">
      <alignment horizontal="center" vertical="center"/>
      <protection hidden="1"/>
    </xf>
    <xf numFmtId="165" fontId="8" fillId="9" borderId="20" xfId="0" applyNumberFormat="1" applyFont="1" applyFill="1" applyBorder="1" applyAlignment="1" applyProtection="1">
      <alignment horizontal="center" vertical="center"/>
      <protection hidden="1"/>
    </xf>
    <xf numFmtId="2" fontId="8" fillId="0" borderId="0" xfId="0" applyNumberFormat="1" applyFont="1" applyFill="1" applyBorder="1" applyAlignment="1" applyProtection="1">
      <alignment horizontal="center" vertical="center" wrapText="1"/>
      <protection hidden="1"/>
    </xf>
    <xf numFmtId="2" fontId="9" fillId="0" borderId="0" xfId="0" applyNumberFormat="1" applyFont="1" applyFill="1" applyBorder="1" applyAlignment="1" applyProtection="1">
      <alignment horizontal="center" vertical="center"/>
      <protection hidden="1"/>
    </xf>
    <xf numFmtId="2" fontId="9" fillId="0" borderId="0" xfId="0" applyNumberFormat="1" applyFont="1" applyFill="1" applyBorder="1" applyProtection="1">
      <protection hidden="1"/>
    </xf>
    <xf numFmtId="174" fontId="7" fillId="9" borderId="1" xfId="0" applyNumberFormat="1" applyFont="1" applyFill="1" applyBorder="1" applyAlignment="1" applyProtection="1">
      <alignment horizontal="center" vertical="center" wrapText="1"/>
      <protection hidden="1"/>
    </xf>
    <xf numFmtId="174" fontId="7" fillId="9" borderId="2" xfId="1" applyNumberFormat="1" applyFont="1" applyFill="1" applyBorder="1" applyAlignment="1" applyProtection="1">
      <alignment vertical="center" wrapText="1"/>
      <protection hidden="1"/>
    </xf>
    <xf numFmtId="174" fontId="7" fillId="9" borderId="3" xfId="0" applyNumberFormat="1" applyFont="1" applyFill="1" applyBorder="1" applyAlignment="1" applyProtection="1">
      <alignment vertical="center" wrapText="1"/>
      <protection hidden="1"/>
    </xf>
    <xf numFmtId="174" fontId="10" fillId="9" borderId="3" xfId="0" applyNumberFormat="1" applyFont="1" applyFill="1" applyBorder="1" applyAlignment="1" applyProtection="1">
      <alignment vertical="center" wrapText="1"/>
      <protection hidden="1"/>
    </xf>
    <xf numFmtId="173" fontId="7" fillId="2" borderId="0" xfId="0" applyNumberFormat="1" applyFont="1" applyFill="1" applyBorder="1" applyProtection="1">
      <protection hidden="1"/>
    </xf>
    <xf numFmtId="2" fontId="7" fillId="11" borderId="19" xfId="0" applyNumberFormat="1" applyFont="1" applyFill="1" applyBorder="1" applyAlignment="1" applyProtection="1">
      <alignment horizontal="center" vertical="center"/>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2" fontId="7" fillId="2" borderId="0" xfId="0" applyNumberFormat="1" applyFont="1" applyFill="1" applyBorder="1" applyAlignment="1" applyProtection="1">
      <alignment horizontal="center"/>
      <protection hidden="1"/>
    </xf>
    <xf numFmtId="14" fontId="5" fillId="9" borderId="49"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7" fillId="6" borderId="9" xfId="2" applyNumberFormat="1" applyFont="1" applyFill="1" applyBorder="1" applyAlignment="1" applyProtection="1">
      <alignment horizontal="center" vertical="center" wrapText="1"/>
      <protection hidden="1"/>
    </xf>
    <xf numFmtId="2" fontId="17"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17" fillId="6" borderId="48" xfId="2"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9" xfId="0" applyNumberFormat="1" applyFont="1" applyFill="1" applyBorder="1" applyAlignment="1" applyProtection="1">
      <alignment horizontal="center" vertical="center" wrapText="1"/>
      <protection hidden="1"/>
    </xf>
    <xf numFmtId="2" fontId="14" fillId="3" borderId="16" xfId="0" applyNumberFormat="1" applyFont="1" applyFill="1" applyBorder="1" applyAlignment="1" applyProtection="1">
      <alignment vertical="center"/>
      <protection hidden="1"/>
    </xf>
    <xf numFmtId="2" fontId="7" fillId="2" borderId="0" xfId="0" applyNumberFormat="1" applyFont="1" applyFill="1" applyBorder="1" applyAlignment="1" applyProtection="1">
      <alignment horizontal="center" vertical="center"/>
      <protection hidden="1"/>
    </xf>
    <xf numFmtId="2" fontId="13" fillId="6" borderId="36" xfId="0" applyNumberFormat="1"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6" xfId="0" applyNumberFormat="1" applyFont="1" applyFill="1" applyBorder="1" applyAlignment="1" applyProtection="1">
      <alignment horizontal="center" vertical="center"/>
      <protection hidden="1"/>
    </xf>
    <xf numFmtId="2" fontId="18" fillId="6" borderId="36" xfId="0" applyNumberFormat="1" applyFont="1" applyFill="1" applyBorder="1" applyAlignment="1" applyProtection="1">
      <alignment horizontal="center" vertical="center" wrapText="1"/>
      <protection hidden="1"/>
    </xf>
    <xf numFmtId="2" fontId="38" fillId="3" borderId="16" xfId="0" applyNumberFormat="1" applyFont="1" applyFill="1" applyBorder="1" applyAlignment="1" applyProtection="1">
      <alignment vertical="center"/>
      <protection hidden="1"/>
    </xf>
    <xf numFmtId="0" fontId="32" fillId="0" borderId="0" xfId="0" applyFont="1" applyProtection="1">
      <protection hidden="1"/>
    </xf>
    <xf numFmtId="0" fontId="32" fillId="0" borderId="0" xfId="0" applyFont="1" applyBorder="1" applyProtection="1">
      <protection hidden="1"/>
    </xf>
    <xf numFmtId="0" fontId="32" fillId="0" borderId="0" xfId="0" applyFont="1" applyAlignment="1" applyProtection="1">
      <alignment horizontal="center" vertical="center"/>
      <protection hidden="1"/>
    </xf>
    <xf numFmtId="0" fontId="32" fillId="0" borderId="0" xfId="0" applyFont="1" applyBorder="1" applyAlignment="1" applyProtection="1">
      <alignment horizontal="center"/>
      <protection hidden="1"/>
    </xf>
    <xf numFmtId="0" fontId="31" fillId="0" borderId="4" xfId="0" applyNumberFormat="1" applyFont="1" applyBorder="1" applyAlignment="1" applyProtection="1">
      <protection hidden="1"/>
    </xf>
    <xf numFmtId="0" fontId="31" fillId="0" borderId="5" xfId="0" applyNumberFormat="1" applyFont="1" applyBorder="1" applyAlignment="1" applyProtection="1">
      <protection hidden="1"/>
    </xf>
    <xf numFmtId="0" fontId="31" fillId="0" borderId="40" xfId="0" applyNumberFormat="1" applyFont="1" applyBorder="1" applyAlignment="1" applyProtection="1">
      <protection hidden="1"/>
    </xf>
    <xf numFmtId="0" fontId="32" fillId="0" borderId="0" xfId="0" applyFont="1" applyFill="1" applyBorder="1" applyProtection="1">
      <protection hidden="1"/>
    </xf>
    <xf numFmtId="0" fontId="32" fillId="0" borderId="0" xfId="0" applyFont="1" applyFill="1" applyProtection="1">
      <protection hidden="1"/>
    </xf>
    <xf numFmtId="0" fontId="32" fillId="0" borderId="7" xfId="0" applyNumberFormat="1" applyFont="1" applyFill="1" applyBorder="1" applyProtection="1">
      <protection hidden="1"/>
    </xf>
    <xf numFmtId="0" fontId="32" fillId="0" borderId="8" xfId="0" applyNumberFormat="1" applyFont="1" applyFill="1" applyBorder="1" applyProtection="1">
      <protection hidden="1"/>
    </xf>
    <xf numFmtId="0" fontId="31" fillId="0" borderId="7"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protection hidden="1"/>
    </xf>
    <xf numFmtId="0" fontId="31" fillId="0" borderId="8" xfId="0" applyNumberFormat="1" applyFont="1" applyFill="1" applyBorder="1" applyAlignment="1" applyProtection="1">
      <alignment horizontal="center" vertical="center" wrapText="1"/>
      <protection hidden="1"/>
    </xf>
    <xf numFmtId="0" fontId="31" fillId="0" borderId="12" xfId="0" applyNumberFormat="1" applyFont="1" applyFill="1" applyBorder="1" applyAlignment="1" applyProtection="1">
      <alignment horizontal="center"/>
      <protection hidden="1"/>
    </xf>
    <xf numFmtId="0" fontId="32" fillId="0" borderId="40"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1" fillId="0" borderId="0" xfId="0" applyFont="1" applyBorder="1" applyProtection="1">
      <protection hidden="1"/>
    </xf>
    <xf numFmtId="0" fontId="31" fillId="0" borderId="0" xfId="0" applyFont="1" applyFill="1" applyBorder="1" applyProtection="1">
      <protection hidden="1"/>
    </xf>
    <xf numFmtId="0" fontId="31" fillId="0" borderId="0" xfId="0" applyFont="1" applyBorder="1" applyAlignment="1" applyProtection="1">
      <alignment horizontal="center"/>
      <protection hidden="1"/>
    </xf>
    <xf numFmtId="0" fontId="33" fillId="0" borderId="0" xfId="0" applyFont="1" applyBorder="1" applyAlignment="1" applyProtection="1">
      <alignment vertical="center" textRotation="90"/>
      <protection hidden="1"/>
    </xf>
    <xf numFmtId="0" fontId="31" fillId="0" borderId="0" xfId="0" applyFont="1" applyBorder="1" applyAlignment="1" applyProtection="1">
      <alignment horizontal="center" vertical="center"/>
      <protection hidden="1"/>
    </xf>
    <xf numFmtId="0" fontId="32" fillId="0" borderId="22" xfId="0" applyFont="1" applyBorder="1" applyProtection="1">
      <protection hidden="1"/>
    </xf>
    <xf numFmtId="0" fontId="33" fillId="0" borderId="32" xfId="0" applyFont="1" applyBorder="1" applyAlignment="1" applyProtection="1">
      <alignment vertical="center" textRotation="90"/>
      <protection hidden="1"/>
    </xf>
    <xf numFmtId="0" fontId="32" fillId="0" borderId="32" xfId="0" applyFont="1" applyBorder="1" applyAlignment="1" applyProtection="1">
      <protection hidden="1"/>
    </xf>
    <xf numFmtId="0" fontId="32" fillId="0" borderId="32" xfId="0" applyFont="1" applyBorder="1" applyProtection="1">
      <protection hidden="1"/>
    </xf>
    <xf numFmtId="0" fontId="32" fillId="0" borderId="15" xfId="0" applyFont="1" applyBorder="1" applyProtection="1">
      <protection hidden="1"/>
    </xf>
    <xf numFmtId="0" fontId="32" fillId="0" borderId="15" xfId="0" applyFont="1" applyBorder="1" applyAlignment="1" applyProtection="1">
      <alignment horizontal="center" vertical="center"/>
      <protection hidden="1"/>
    </xf>
    <xf numFmtId="0" fontId="32" fillId="0" borderId="16" xfId="0" applyFont="1" applyBorder="1" applyAlignment="1" applyProtection="1">
      <alignment horizontal="center" vertical="center"/>
      <protection hidden="1"/>
    </xf>
    <xf numFmtId="0" fontId="32" fillId="0" borderId="20" xfId="0"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33" fillId="0" borderId="41" xfId="0" applyFont="1" applyBorder="1" applyAlignment="1" applyProtection="1">
      <alignment horizontal="center" vertical="center"/>
      <protection hidden="1"/>
    </xf>
    <xf numFmtId="0" fontId="31" fillId="0" borderId="41" xfId="0" applyFont="1" applyFill="1" applyBorder="1" applyAlignment="1" applyProtection="1">
      <alignment horizontal="center" vertical="center"/>
      <protection hidden="1"/>
    </xf>
    <xf numFmtId="0" fontId="32" fillId="0" borderId="41" xfId="0" applyFont="1" applyFill="1" applyBorder="1" applyAlignment="1" applyProtection="1">
      <alignment horizontal="center" vertical="center"/>
      <protection hidden="1"/>
    </xf>
    <xf numFmtId="3" fontId="31" fillId="0" borderId="41" xfId="0" applyNumberFormat="1" applyFont="1" applyFill="1" applyBorder="1" applyAlignment="1" applyProtection="1">
      <alignment horizontal="center" vertical="center" wrapText="1"/>
      <protection hidden="1"/>
    </xf>
    <xf numFmtId="171" fontId="31" fillId="0" borderId="41" xfId="0" applyNumberFormat="1" applyFont="1" applyFill="1" applyBorder="1" applyAlignment="1" applyProtection="1">
      <alignment horizontal="center" vertical="center"/>
      <protection hidden="1"/>
    </xf>
    <xf numFmtId="168" fontId="31" fillId="0" borderId="41" xfId="0" applyNumberFormat="1" applyFont="1" applyFill="1" applyBorder="1" applyAlignment="1" applyProtection="1">
      <alignment horizontal="center" vertical="center"/>
      <protection hidden="1"/>
    </xf>
    <xf numFmtId="3" fontId="31" fillId="18" borderId="4" xfId="0" applyNumberFormat="1" applyFont="1" applyFill="1" applyBorder="1" applyAlignment="1" applyProtection="1">
      <alignment horizontal="center" vertical="center" wrapText="1"/>
      <protection hidden="1"/>
    </xf>
    <xf numFmtId="0" fontId="32" fillId="0" borderId="5" xfId="0" applyFont="1" applyBorder="1" applyAlignment="1" applyProtection="1">
      <alignment horizontal="center" vertical="center" wrapText="1"/>
      <protection hidden="1"/>
    </xf>
    <xf numFmtId="0" fontId="31" fillId="0" borderId="0" xfId="0" applyFont="1" applyFill="1" applyBorder="1" applyAlignment="1" applyProtection="1">
      <alignment vertical="center"/>
      <protection hidden="1"/>
    </xf>
    <xf numFmtId="0" fontId="33" fillId="0" borderId="24"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 fontId="31" fillId="0" borderId="0" xfId="0" applyNumberFormat="1" applyFont="1" applyFill="1" applyBorder="1" applyAlignment="1" applyProtection="1">
      <alignment horizontal="center" vertical="center" wrapText="1"/>
      <protection hidden="1"/>
    </xf>
    <xf numFmtId="168" fontId="31" fillId="0" borderId="0" xfId="0" applyNumberFormat="1" applyFont="1" applyFill="1" applyBorder="1" applyAlignment="1" applyProtection="1">
      <alignment horizontal="center" vertical="center"/>
      <protection hidden="1"/>
    </xf>
    <xf numFmtId="14" fontId="31" fillId="0" borderId="0" xfId="0" applyNumberFormat="1" applyFont="1" applyFill="1" applyBorder="1" applyAlignment="1" applyProtection="1">
      <alignment horizontal="center" vertical="center" wrapText="1"/>
      <protection hidden="1"/>
    </xf>
    <xf numFmtId="0" fontId="32" fillId="0" borderId="14" xfId="0" applyFont="1" applyBorder="1" applyProtection="1">
      <protection hidden="1"/>
    </xf>
    <xf numFmtId="171" fontId="32" fillId="0" borderId="1" xfId="0" applyNumberFormat="1" applyFont="1" applyBorder="1" applyAlignment="1" applyProtection="1">
      <alignment horizontal="center" vertical="center" wrapText="1"/>
      <protection hidden="1"/>
    </xf>
    <xf numFmtId="0" fontId="32" fillId="0" borderId="24" xfId="0" applyFont="1" applyBorder="1" applyProtection="1">
      <protection hidden="1"/>
    </xf>
    <xf numFmtId="175" fontId="31" fillId="0" borderId="42" xfId="0" applyNumberFormat="1" applyFont="1" applyFill="1" applyBorder="1" applyAlignment="1" applyProtection="1">
      <alignment horizontal="center" vertical="center"/>
      <protection hidden="1"/>
    </xf>
    <xf numFmtId="0" fontId="31" fillId="0" borderId="5" xfId="0" applyFont="1" applyFill="1" applyBorder="1" applyAlignment="1" applyProtection="1">
      <alignment horizontal="center" vertical="center"/>
      <protection hidden="1"/>
    </xf>
    <xf numFmtId="175" fontId="31" fillId="2" borderId="5" xfId="0" applyNumberFormat="1" applyFont="1" applyFill="1" applyBorder="1" applyAlignment="1" applyProtection="1">
      <alignment horizontal="center" vertical="center"/>
      <protection hidden="1"/>
    </xf>
    <xf numFmtId="0" fontId="31" fillId="0" borderId="1"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31" fillId="0" borderId="42" xfId="0" applyFont="1" applyFill="1" applyBorder="1" applyAlignment="1" applyProtection="1">
      <alignment horizontal="center" vertical="center"/>
      <protection hidden="1"/>
    </xf>
    <xf numFmtId="0" fontId="31" fillId="0" borderId="7" xfId="0" applyFont="1" applyFill="1" applyBorder="1" applyAlignment="1" applyProtection="1">
      <alignment horizontal="center" vertical="center"/>
      <protection hidden="1"/>
    </xf>
    <xf numFmtId="0" fontId="35" fillId="0" borderId="0" xfId="0" applyFont="1" applyProtection="1">
      <protection hidden="1"/>
    </xf>
    <xf numFmtId="0" fontId="32" fillId="0" borderId="22" xfId="0" applyFont="1" applyBorder="1" applyAlignment="1" applyProtection="1">
      <protection hidden="1"/>
    </xf>
    <xf numFmtId="0" fontId="32" fillId="0" borderId="52" xfId="0" applyFont="1" applyBorder="1" applyAlignment="1" applyProtection="1">
      <protection hidden="1"/>
    </xf>
    <xf numFmtId="0" fontId="32" fillId="0" borderId="60" xfId="0" applyFont="1" applyBorder="1" applyAlignment="1" applyProtection="1">
      <alignment horizontal="center" vertical="center"/>
      <protection hidden="1"/>
    </xf>
    <xf numFmtId="0" fontId="0" fillId="0" borderId="0" xfId="0" applyBorder="1" applyAlignment="1" applyProtection="1">
      <alignment vertical="center" wrapText="1"/>
      <protection hidden="1"/>
    </xf>
    <xf numFmtId="0" fontId="32" fillId="0" borderId="12" xfId="0" applyFont="1" applyFill="1" applyBorder="1" applyProtection="1">
      <protection hidden="1"/>
    </xf>
    <xf numFmtId="0" fontId="31" fillId="0" borderId="44" xfId="0" applyNumberFormat="1" applyFont="1" applyBorder="1" applyAlignment="1" applyProtection="1">
      <protection hidden="1"/>
    </xf>
    <xf numFmtId="0" fontId="31" fillId="0" borderId="20" xfId="0" applyNumberFormat="1" applyFont="1" applyBorder="1" applyAlignment="1" applyProtection="1">
      <protection hidden="1"/>
    </xf>
    <xf numFmtId="0" fontId="32" fillId="0" borderId="45" xfId="0" applyFont="1" applyBorder="1" applyProtection="1">
      <protection hidden="1"/>
    </xf>
    <xf numFmtId="0" fontId="32" fillId="0" borderId="7" xfId="0" applyFont="1" applyBorder="1" applyProtection="1">
      <protection hidden="1"/>
    </xf>
    <xf numFmtId="0" fontId="32" fillId="0" borderId="12" xfId="0" applyFont="1" applyBorder="1" applyProtection="1">
      <protection hidden="1"/>
    </xf>
    <xf numFmtId="0" fontId="32" fillId="0" borderId="44" xfId="0" applyFont="1" applyBorder="1" applyProtection="1">
      <protection hidden="1"/>
    </xf>
    <xf numFmtId="1" fontId="7" fillId="14" borderId="36" xfId="3" applyNumberFormat="1" applyFont="1" applyBorder="1" applyAlignment="1" applyProtection="1">
      <alignment horizontal="center" vertical="center"/>
      <protection locked="0" hidden="1"/>
    </xf>
    <xf numFmtId="1" fontId="7" fillId="14" borderId="16" xfId="3" applyNumberFormat="1" applyFont="1" applyBorder="1" applyAlignment="1" applyProtection="1">
      <alignment horizontal="center" vertical="center" wrapText="1"/>
      <protection locked="0" hidden="1"/>
    </xf>
    <xf numFmtId="1" fontId="8" fillId="14" borderId="36" xfId="3" applyNumberFormat="1" applyFont="1" applyBorder="1" applyAlignment="1" applyProtection="1">
      <alignment horizontal="center" vertical="center"/>
      <protection locked="0" hidden="1"/>
    </xf>
    <xf numFmtId="176"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6" xfId="0" applyNumberFormat="1" applyFont="1" applyFill="1" applyBorder="1" applyAlignment="1" applyProtection="1">
      <alignment horizontal="center" vertical="center" wrapText="1"/>
      <protection locked="0" hidden="1"/>
    </xf>
    <xf numFmtId="3" fontId="31" fillId="21" borderId="44" xfId="0" applyNumberFormat="1" applyFont="1" applyFill="1" applyBorder="1" applyAlignment="1" applyProtection="1">
      <alignment horizontal="center" vertical="center" wrapText="1"/>
      <protection hidden="1"/>
    </xf>
    <xf numFmtId="0" fontId="32" fillId="16" borderId="1" xfId="0" applyFont="1" applyFill="1" applyBorder="1" applyAlignment="1" applyProtection="1">
      <alignment horizontal="center" vertical="center" wrapText="1"/>
      <protection hidden="1"/>
    </xf>
    <xf numFmtId="178" fontId="0" fillId="16" borderId="1" xfId="0" applyNumberFormat="1" applyFill="1" applyBorder="1" applyAlignment="1" applyProtection="1">
      <alignment horizontal="center" vertical="center" wrapText="1"/>
      <protection hidden="1"/>
    </xf>
    <xf numFmtId="4" fontId="0" fillId="16" borderId="1" xfId="0" applyNumberFormat="1" applyFill="1" applyBorder="1" applyAlignment="1" applyProtection="1">
      <alignment horizontal="center" vertical="center" wrapText="1"/>
      <protection hidden="1"/>
    </xf>
    <xf numFmtId="171" fontId="32" fillId="16" borderId="1" xfId="0" applyNumberFormat="1" applyFont="1" applyFill="1" applyBorder="1" applyAlignment="1" applyProtection="1">
      <alignment horizontal="center" vertical="center" wrapText="1"/>
      <protection hidden="1"/>
    </xf>
    <xf numFmtId="0" fontId="32" fillId="0" borderId="4" xfId="0" applyFont="1" applyBorder="1" applyProtection="1">
      <protection hidden="1"/>
    </xf>
    <xf numFmtId="0" fontId="32" fillId="16" borderId="1" xfId="0" applyFont="1" applyFill="1" applyBorder="1" applyAlignment="1" applyProtection="1">
      <alignment horizontal="center" vertical="center"/>
      <protection hidden="1"/>
    </xf>
    <xf numFmtId="169" fontId="32" fillId="16" borderId="1" xfId="0" applyNumberFormat="1" applyFont="1" applyFill="1" applyBorder="1" applyAlignment="1" applyProtection="1">
      <alignment horizontal="center" vertical="center"/>
      <protection hidden="1"/>
    </xf>
    <xf numFmtId="171" fontId="32" fillId="16" borderId="1" xfId="0" applyNumberFormat="1" applyFont="1" applyFill="1" applyBorder="1" applyAlignment="1" applyProtection="1">
      <alignment horizontal="center" vertical="center"/>
      <protection hidden="1"/>
    </xf>
    <xf numFmtId="2" fontId="32" fillId="16" borderId="1" xfId="0" applyNumberFormat="1" applyFont="1" applyFill="1" applyBorder="1" applyAlignment="1" applyProtection="1">
      <alignment horizontal="center" vertical="center"/>
      <protection hidden="1"/>
    </xf>
    <xf numFmtId="0" fontId="32" fillId="16" borderId="8" xfId="0" applyFont="1" applyFill="1" applyBorder="1" applyAlignment="1" applyProtection="1">
      <alignment horizontal="center" vertical="center"/>
      <protection hidden="1"/>
    </xf>
    <xf numFmtId="169" fontId="32" fillId="16" borderId="8" xfId="0" applyNumberFormat="1" applyFont="1" applyFill="1" applyBorder="1" applyAlignment="1" applyProtection="1">
      <alignment horizontal="center" vertical="center"/>
      <protection hidden="1"/>
    </xf>
    <xf numFmtId="0" fontId="32" fillId="16" borderId="4" xfId="0" applyFont="1" applyFill="1" applyBorder="1" applyAlignment="1" applyProtection="1">
      <alignment horizontal="center" vertical="center" wrapText="1"/>
      <protection hidden="1"/>
    </xf>
    <xf numFmtId="0" fontId="32" fillId="16" borderId="5" xfId="0" applyFont="1" applyFill="1" applyBorder="1" applyAlignment="1" applyProtection="1">
      <alignment horizontal="center" vertical="center"/>
      <protection hidden="1"/>
    </xf>
    <xf numFmtId="166" fontId="32" fillId="16" borderId="5" xfId="0" applyNumberFormat="1" applyFont="1" applyFill="1" applyBorder="1" applyAlignment="1" applyProtection="1">
      <alignment horizontal="center" vertical="center"/>
      <protection hidden="1"/>
    </xf>
    <xf numFmtId="2" fontId="32" fillId="16" borderId="5" xfId="0" applyNumberFormat="1" applyFont="1" applyFill="1" applyBorder="1" applyAlignment="1" applyProtection="1">
      <alignment horizontal="center" vertical="center"/>
      <protection hidden="1"/>
    </xf>
    <xf numFmtId="169" fontId="32" fillId="16" borderId="5" xfId="0" applyNumberFormat="1" applyFont="1" applyFill="1" applyBorder="1" applyAlignment="1" applyProtection="1">
      <alignment horizontal="center" vertical="center"/>
      <protection hidden="1"/>
    </xf>
    <xf numFmtId="0" fontId="32" fillId="16" borderId="40" xfId="0" applyFont="1" applyFill="1" applyBorder="1" applyAlignment="1" applyProtection="1">
      <alignment horizontal="center" vertical="center"/>
      <protection hidden="1"/>
    </xf>
    <xf numFmtId="0" fontId="32" fillId="16" borderId="42" xfId="0" applyFont="1" applyFill="1" applyBorder="1" applyAlignment="1" applyProtection="1">
      <alignment horizontal="center" vertical="center" wrapText="1"/>
      <protection hidden="1"/>
    </xf>
    <xf numFmtId="165" fontId="32" fillId="16" borderId="1" xfId="0" applyNumberFormat="1" applyFont="1" applyFill="1" applyBorder="1" applyAlignment="1" applyProtection="1">
      <alignment horizontal="center" vertical="center"/>
      <protection hidden="1"/>
    </xf>
    <xf numFmtId="0" fontId="32" fillId="16" borderId="43" xfId="0" applyFont="1" applyFill="1" applyBorder="1" applyAlignment="1" applyProtection="1">
      <alignment horizontal="center" vertical="center"/>
      <protection hidden="1"/>
    </xf>
    <xf numFmtId="0" fontId="32" fillId="16" borderId="7" xfId="0" applyFont="1" applyFill="1" applyBorder="1" applyAlignment="1" applyProtection="1">
      <alignment horizontal="center" vertical="center" wrapText="1"/>
      <protection hidden="1"/>
    </xf>
    <xf numFmtId="171" fontId="32" fillId="16" borderId="8" xfId="0" applyNumberFormat="1" applyFont="1" applyFill="1" applyBorder="1" applyAlignment="1" applyProtection="1">
      <alignment horizontal="center" vertical="center"/>
      <protection hidden="1"/>
    </xf>
    <xf numFmtId="0" fontId="32" fillId="16" borderId="12" xfId="0" applyFont="1" applyFill="1" applyBorder="1" applyAlignment="1" applyProtection="1">
      <alignment horizontal="center" vertical="center"/>
      <protection hidden="1"/>
    </xf>
    <xf numFmtId="164" fontId="32" fillId="16" borderId="5" xfId="0" applyNumberFormat="1" applyFont="1" applyFill="1" applyBorder="1" applyAlignment="1" applyProtection="1">
      <alignment horizontal="center" vertical="center"/>
      <protection hidden="1"/>
    </xf>
    <xf numFmtId="166" fontId="32" fillId="16" borderId="1" xfId="0" applyNumberFormat="1" applyFont="1" applyFill="1" applyBorder="1" applyAlignment="1" applyProtection="1">
      <alignment horizontal="center" vertical="center"/>
      <protection hidden="1"/>
    </xf>
    <xf numFmtId="164" fontId="32" fillId="16" borderId="1" xfId="0" applyNumberFormat="1" applyFont="1" applyFill="1" applyBorder="1" applyAlignment="1" applyProtection="1">
      <alignment horizontal="center" vertical="center"/>
      <protection hidden="1"/>
    </xf>
    <xf numFmtId="165" fontId="32" fillId="16" borderId="5" xfId="0" applyNumberFormat="1" applyFont="1" applyFill="1" applyBorder="1" applyAlignment="1" applyProtection="1">
      <alignment horizontal="center" vertical="center"/>
      <protection hidden="1"/>
    </xf>
    <xf numFmtId="0" fontId="31" fillId="23" borderId="14" xfId="0" applyFont="1" applyFill="1" applyBorder="1" applyAlignment="1" applyProtection="1">
      <alignment horizontal="center" vertical="center"/>
      <protection hidden="1"/>
    </xf>
    <xf numFmtId="2" fontId="7" fillId="9" borderId="36" xfId="0" applyNumberFormat="1" applyFont="1" applyFill="1" applyBorder="1" applyAlignment="1" applyProtection="1">
      <alignment horizontal="center" vertical="center"/>
      <protection hidden="1"/>
    </xf>
    <xf numFmtId="2" fontId="7" fillId="6" borderId="4" xfId="0" applyNumberFormat="1" applyFont="1" applyFill="1" applyBorder="1" applyAlignment="1" applyProtection="1">
      <alignment horizontal="center" vertical="center"/>
      <protection hidden="1"/>
    </xf>
    <xf numFmtId="2" fontId="7" fillId="6" borderId="40" xfId="0" applyNumberFormat="1" applyFont="1" applyFill="1" applyBorder="1" applyAlignment="1" applyProtection="1">
      <alignment horizontal="center" vertical="center"/>
      <protection hidden="1"/>
    </xf>
    <xf numFmtId="2" fontId="7" fillId="6" borderId="59" xfId="0" applyNumberFormat="1" applyFont="1" applyFill="1" applyBorder="1" applyAlignment="1" applyProtection="1">
      <alignment horizontal="center" vertical="center"/>
      <protection hidden="1"/>
    </xf>
    <xf numFmtId="2" fontId="7" fillId="6" borderId="60" xfId="0" applyNumberFormat="1"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40"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43"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 fontId="7" fillId="9" borderId="44" xfId="0" applyNumberFormat="1" applyFont="1" applyFill="1" applyBorder="1" applyAlignment="1" applyProtection="1">
      <alignment horizontal="center" vertical="center"/>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 fontId="9" fillId="9" borderId="40" xfId="0" applyNumberFormat="1" applyFont="1" applyFill="1" applyBorder="1" applyAlignment="1" applyProtection="1">
      <alignment horizontal="center"/>
      <protection hidden="1"/>
    </xf>
    <xf numFmtId="167" fontId="9" fillId="9" borderId="42" xfId="0" applyNumberFormat="1" applyFont="1" applyFill="1" applyBorder="1" applyAlignment="1" applyProtection="1">
      <alignment horizontal="center" vertical="center"/>
      <protection hidden="1"/>
    </xf>
    <xf numFmtId="1" fontId="9" fillId="9" borderId="45" xfId="0" applyNumberFormat="1" applyFont="1" applyFill="1" applyBorder="1" applyAlignment="1" applyProtection="1">
      <alignment horizontal="center"/>
      <protection hidden="1"/>
    </xf>
    <xf numFmtId="167" fontId="9" fillId="9" borderId="7" xfId="0" applyNumberFormat="1" applyFont="1" applyFill="1" applyBorder="1" applyAlignment="1" applyProtection="1">
      <alignment horizontal="center" vertical="center"/>
      <protection hidden="1"/>
    </xf>
    <xf numFmtId="167" fontId="9"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1" fontId="9" fillId="9" borderId="12" xfId="0" applyNumberFormat="1" applyFont="1" applyFill="1" applyBorder="1" applyAlignment="1" applyProtection="1">
      <alignment horizontal="center"/>
      <protection hidden="1"/>
    </xf>
    <xf numFmtId="167" fontId="8" fillId="9" borderId="9" xfId="0" applyNumberFormat="1" applyFont="1" applyFill="1" applyBorder="1" applyAlignment="1" applyProtection="1">
      <alignment horizontal="center" vertical="center"/>
      <protection hidden="1"/>
    </xf>
    <xf numFmtId="167" fontId="8" fillId="9" borderId="10" xfId="0" applyNumberFormat="1" applyFont="1" applyFill="1" applyBorder="1" applyAlignment="1" applyProtection="1">
      <alignment horizontal="center" vertical="center"/>
      <protection hidden="1"/>
    </xf>
    <xf numFmtId="2" fontId="7" fillId="9" borderId="11" xfId="0" applyNumberFormat="1" applyFont="1" applyFill="1" applyBorder="1" applyAlignment="1" applyProtection="1">
      <alignment horizontal="center" vertical="center"/>
      <protection hidden="1"/>
    </xf>
    <xf numFmtId="169" fontId="9" fillId="9" borderId="4" xfId="0" applyNumberFormat="1" applyFont="1" applyFill="1" applyBorder="1" applyAlignment="1" applyProtection="1">
      <alignment horizontal="center" vertical="center"/>
      <protection hidden="1"/>
    </xf>
    <xf numFmtId="169" fontId="9" fillId="9" borderId="5" xfId="0" applyNumberFormat="1" applyFont="1" applyFill="1" applyBorder="1" applyAlignment="1" applyProtection="1">
      <alignment horizontal="center" vertical="center"/>
      <protection hidden="1"/>
    </xf>
    <xf numFmtId="2" fontId="9" fillId="9" borderId="5" xfId="0" applyNumberFormat="1" applyFont="1" applyFill="1" applyBorder="1" applyAlignment="1" applyProtection="1">
      <alignment horizontal="center"/>
      <protection hidden="1"/>
    </xf>
    <xf numFmtId="169" fontId="9" fillId="9" borderId="42" xfId="0" applyNumberFormat="1" applyFont="1" applyFill="1" applyBorder="1" applyAlignment="1" applyProtection="1">
      <alignment horizontal="center" vertical="center"/>
      <protection hidden="1"/>
    </xf>
    <xf numFmtId="1" fontId="9" fillId="9" borderId="43" xfId="0" applyNumberFormat="1" applyFont="1" applyFill="1" applyBorder="1" applyAlignment="1" applyProtection="1">
      <alignment horizontal="center"/>
      <protection hidden="1"/>
    </xf>
    <xf numFmtId="169" fontId="9" fillId="9" borderId="7" xfId="0" applyNumberFormat="1" applyFont="1" applyFill="1" applyBorder="1" applyAlignment="1" applyProtection="1">
      <alignment horizontal="center" vertical="center"/>
      <protection hidden="1"/>
    </xf>
    <xf numFmtId="169" fontId="9" fillId="9" borderId="8" xfId="0" applyNumberFormat="1" applyFont="1" applyFill="1" applyBorder="1" applyAlignment="1" applyProtection="1">
      <alignment horizontal="center" vertical="center"/>
      <protection hidden="1"/>
    </xf>
    <xf numFmtId="2" fontId="9" fillId="9" borderId="8" xfId="0" applyNumberFormat="1" applyFont="1" applyFill="1" applyBorder="1" applyAlignment="1" applyProtection="1">
      <alignment horizontal="center"/>
      <protection hidden="1"/>
    </xf>
    <xf numFmtId="2" fontId="9" fillId="9" borderId="11" xfId="0" applyNumberFormat="1" applyFont="1" applyFill="1" applyBorder="1" applyAlignment="1" applyProtection="1">
      <alignment horizontal="center"/>
      <protection hidden="1"/>
    </xf>
    <xf numFmtId="164" fontId="7" fillId="16" borderId="43" xfId="0" applyNumberFormat="1" applyFont="1" applyFill="1" applyBorder="1" applyAlignment="1" applyProtection="1">
      <alignment horizontal="center" vertical="center"/>
      <protection hidden="1"/>
    </xf>
    <xf numFmtId="2" fontId="7" fillId="16" borderId="43" xfId="0" applyNumberFormat="1" applyFont="1" applyFill="1" applyBorder="1" applyAlignment="1" applyProtection="1">
      <alignment horizontal="center" vertical="center"/>
      <protection hidden="1"/>
    </xf>
    <xf numFmtId="165" fontId="7" fillId="9" borderId="8"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2" fontId="7" fillId="16" borderId="12" xfId="0" applyNumberFormat="1" applyFont="1" applyFill="1" applyBorder="1" applyAlignment="1" applyProtection="1">
      <alignment horizontal="center" vertical="center"/>
      <protection hidden="1"/>
    </xf>
    <xf numFmtId="2" fontId="7" fillId="0" borderId="25" xfId="0" applyNumberFormat="1" applyFont="1" applyBorder="1" applyProtection="1">
      <protection hidden="1"/>
    </xf>
    <xf numFmtId="164" fontId="7" fillId="9" borderId="43"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2" fontId="7" fillId="6" borderId="5"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40" xfId="0" applyNumberFormat="1" applyFont="1" applyFill="1" applyBorder="1" applyAlignment="1" applyProtection="1">
      <alignment horizontal="center" vertical="center" wrapText="1"/>
      <protection hidden="1"/>
    </xf>
    <xf numFmtId="171" fontId="13" fillId="9" borderId="43" xfId="0" applyNumberFormat="1" applyFont="1" applyFill="1" applyBorder="1" applyAlignment="1" applyProtection="1">
      <alignment horizontal="center" vertical="center"/>
      <protection hidden="1"/>
    </xf>
    <xf numFmtId="171" fontId="13" fillId="9" borderId="7"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7"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7"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7" fillId="17" borderId="5" xfId="0" applyFont="1" applyFill="1" applyBorder="1" applyAlignment="1" applyProtection="1">
      <alignment horizontal="left" vertical="center" wrapText="1"/>
      <protection hidden="1"/>
    </xf>
    <xf numFmtId="1" fontId="7" fillId="9" borderId="40" xfId="0" applyNumberFormat="1" applyFont="1" applyFill="1" applyBorder="1" applyAlignment="1" applyProtection="1">
      <alignment horizontal="center" vertical="center" wrapText="1"/>
      <protection hidden="1"/>
    </xf>
    <xf numFmtId="0" fontId="37" fillId="17"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7"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2" xfId="2" applyNumberFormat="1" applyFont="1" applyFill="1" applyBorder="1" applyAlignment="1" applyProtection="1">
      <protection hidden="1"/>
    </xf>
    <xf numFmtId="1" fontId="13" fillId="14" borderId="34" xfId="3" applyNumberFormat="1" applyFont="1" applyBorder="1" applyAlignment="1" applyProtection="1">
      <alignment horizontal="center" vertical="center"/>
      <protection locked="0" hidden="1"/>
    </xf>
    <xf numFmtId="0" fontId="7" fillId="9" borderId="20" xfId="0" applyFont="1" applyFill="1" applyBorder="1" applyAlignment="1" applyProtection="1">
      <alignment horizontal="center" vertical="center"/>
      <protection hidden="1"/>
    </xf>
    <xf numFmtId="1" fontId="8" fillId="14" borderId="14" xfId="3" applyNumberFormat="1" applyFont="1" applyBorder="1" applyAlignment="1" applyProtection="1">
      <alignment horizontal="center" vertical="center"/>
      <protection locked="0" hidden="1"/>
    </xf>
    <xf numFmtId="1" fontId="9" fillId="14" borderId="16" xfId="3" applyNumberFormat="1" applyFont="1" applyBorder="1" applyAlignment="1" applyProtection="1">
      <alignment horizontal="center" vertical="center"/>
      <protection locked="0" hidden="1"/>
    </xf>
    <xf numFmtId="2" fontId="7" fillId="0" borderId="41" xfId="0" applyNumberFormat="1" applyFont="1" applyBorder="1" applyAlignment="1" applyProtection="1">
      <alignment vertical="center"/>
      <protection hidden="1"/>
    </xf>
    <xf numFmtId="0" fontId="7" fillId="9" borderId="44" xfId="0" applyFont="1" applyFill="1" applyBorder="1" applyAlignment="1" applyProtection="1">
      <alignment horizontal="center" vertical="center"/>
      <protection hidden="1"/>
    </xf>
    <xf numFmtId="0" fontId="7" fillId="9" borderId="45"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0" fontId="7" fillId="9" borderId="43" xfId="0" applyFont="1" applyFill="1" applyBorder="1" applyAlignment="1" applyProtection="1">
      <alignment horizontal="center" vertical="center"/>
      <protection hidden="1"/>
    </xf>
    <xf numFmtId="0" fontId="7" fillId="9" borderId="7" xfId="0" applyFont="1" applyFill="1" applyBorder="1" applyAlignment="1" applyProtection="1">
      <alignment horizontal="center" vertical="center"/>
      <protection hidden="1"/>
    </xf>
    <xf numFmtId="2" fontId="7" fillId="9" borderId="58" xfId="0" applyNumberFormat="1" applyFont="1" applyFill="1" applyBorder="1" applyAlignment="1" applyProtection="1">
      <alignment horizontal="centerContinuous" vertical="center" wrapText="1"/>
      <protection hidden="1"/>
    </xf>
    <xf numFmtId="2" fontId="7" fillId="9" borderId="67" xfId="0" applyNumberFormat="1" applyFont="1" applyFill="1" applyBorder="1" applyAlignment="1" applyProtection="1">
      <alignment horizontal="centerContinuous" vertical="center" wrapText="1"/>
      <protection hidden="1"/>
    </xf>
    <xf numFmtId="2" fontId="7" fillId="9" borderId="70" xfId="0" applyNumberFormat="1" applyFont="1" applyFill="1" applyBorder="1" applyAlignment="1" applyProtection="1">
      <alignment horizontal="centerContinuous" vertical="center" wrapText="1"/>
      <protection hidden="1"/>
    </xf>
    <xf numFmtId="1" fontId="7" fillId="9" borderId="56"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4" borderId="57" xfId="3" applyNumberFormat="1" applyFont="1" applyBorder="1" applyAlignment="1" applyProtection="1">
      <alignment horizontal="center" vertical="center"/>
      <protection locked="0" hidden="1"/>
    </xf>
    <xf numFmtId="2" fontId="5" fillId="6" borderId="5"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6" xfId="0" applyNumberFormat="1" applyFont="1" applyFill="1" applyBorder="1" applyAlignment="1" applyProtection="1">
      <alignment horizontal="center" vertical="center" wrapText="1"/>
      <protection hidden="1"/>
    </xf>
    <xf numFmtId="169" fontId="7" fillId="6" borderId="72" xfId="0" applyNumberFormat="1" applyFont="1" applyFill="1" applyBorder="1" applyAlignment="1" applyProtection="1">
      <alignment horizontal="center" vertical="center"/>
      <protection hidden="1"/>
    </xf>
    <xf numFmtId="169" fontId="7" fillId="6" borderId="73"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0" fontId="8" fillId="9" borderId="36" xfId="1" applyNumberFormat="1" applyFont="1" applyFill="1" applyBorder="1" applyAlignment="1" applyProtection="1">
      <alignment horizontal="center" vertical="center"/>
      <protection hidden="1"/>
    </xf>
    <xf numFmtId="1" fontId="8" fillId="10" borderId="4" xfId="0" applyNumberFormat="1" applyFont="1" applyFill="1" applyBorder="1" applyAlignment="1" applyProtection="1">
      <alignment horizontal="center" vertical="center" wrapText="1"/>
      <protection hidden="1"/>
    </xf>
    <xf numFmtId="1" fontId="8" fillId="10" borderId="5" xfId="0" applyNumberFormat="1" applyFont="1" applyFill="1" applyBorder="1" applyAlignment="1" applyProtection="1">
      <alignment horizontal="center" vertical="center" wrapText="1"/>
      <protection hidden="1"/>
    </xf>
    <xf numFmtId="1" fontId="8" fillId="16" borderId="40" xfId="0" applyNumberFormat="1" applyFont="1" applyFill="1" applyBorder="1" applyAlignment="1" applyProtection="1">
      <alignment horizontal="center" vertical="center" wrapText="1"/>
      <protection hidden="1"/>
    </xf>
    <xf numFmtId="164" fontId="38" fillId="10" borderId="7" xfId="0" applyNumberFormat="1" applyFont="1" applyFill="1" applyBorder="1" applyAlignment="1" applyProtection="1">
      <alignment horizontal="center" vertical="center" wrapText="1"/>
      <protection hidden="1"/>
    </xf>
    <xf numFmtId="164" fontId="38" fillId="10" borderId="8" xfId="0" applyNumberFormat="1" applyFont="1" applyFill="1" applyBorder="1" applyAlignment="1" applyProtection="1">
      <alignment horizontal="center" vertical="center" wrapText="1"/>
      <protection hidden="1"/>
    </xf>
    <xf numFmtId="2" fontId="38" fillId="10" borderId="8" xfId="0" applyNumberFormat="1" applyFont="1" applyFill="1" applyBorder="1" applyAlignment="1" applyProtection="1">
      <alignment horizontal="center" vertical="center" wrapText="1"/>
      <protection hidden="1"/>
    </xf>
    <xf numFmtId="2" fontId="38" fillId="10" borderId="12" xfId="0" applyNumberFormat="1" applyFont="1" applyFill="1" applyBorder="1" applyAlignment="1" applyProtection="1">
      <alignment horizontal="center" vertical="center" wrapText="1"/>
      <protection hidden="1"/>
    </xf>
    <xf numFmtId="2" fontId="18" fillId="6" borderId="59" xfId="0" applyNumberFormat="1" applyFont="1" applyFill="1" applyBorder="1" applyAlignment="1" applyProtection="1">
      <alignment horizontal="center" vertical="center"/>
      <protection hidden="1"/>
    </xf>
    <xf numFmtId="2" fontId="18" fillId="6" borderId="52" xfId="0" applyNumberFormat="1" applyFont="1" applyFill="1" applyBorder="1" applyAlignment="1" applyProtection="1">
      <alignment horizontal="center" vertical="center"/>
      <protection hidden="1"/>
    </xf>
    <xf numFmtId="2" fontId="18" fillId="6" borderId="55" xfId="0" applyNumberFormat="1" applyFont="1" applyFill="1" applyBorder="1" applyAlignment="1" applyProtection="1">
      <alignment horizontal="centerContinuous" vertical="center" wrapText="1"/>
      <protection hidden="1"/>
    </xf>
    <xf numFmtId="2" fontId="18" fillId="6" borderId="77" xfId="0" applyNumberFormat="1" applyFont="1" applyFill="1" applyBorder="1" applyAlignment="1" applyProtection="1">
      <alignment horizontal="centerContinuous" vertical="center" wrapText="1"/>
      <protection hidden="1"/>
    </xf>
    <xf numFmtId="2" fontId="7" fillId="6" borderId="49" xfId="0" applyNumberFormat="1" applyFont="1" applyFill="1" applyBorder="1" applyProtection="1">
      <protection hidden="1"/>
    </xf>
    <xf numFmtId="2" fontId="7" fillId="6" borderId="50" xfId="0" applyNumberFormat="1" applyFont="1" applyFill="1" applyBorder="1" applyProtection="1">
      <protection hidden="1"/>
    </xf>
    <xf numFmtId="2" fontId="7" fillId="6" borderId="56" xfId="0" applyNumberFormat="1" applyFont="1" applyFill="1" applyBorder="1" applyAlignment="1" applyProtection="1">
      <alignment horizontal="centerContinuous"/>
      <protection hidden="1"/>
    </xf>
    <xf numFmtId="2" fontId="7" fillId="6" borderId="78" xfId="0" applyNumberFormat="1" applyFont="1" applyFill="1" applyBorder="1" applyAlignment="1" applyProtection="1">
      <alignment horizontal="centerContinuous"/>
      <protection hidden="1"/>
    </xf>
    <xf numFmtId="174" fontId="7" fillId="9" borderId="4" xfId="0" applyNumberFormat="1" applyFont="1" applyFill="1" applyBorder="1" applyAlignment="1" applyProtection="1">
      <alignment horizontal="center" vertical="center" wrapText="1"/>
      <protection hidden="1"/>
    </xf>
    <xf numFmtId="174" fontId="7" fillId="9" borderId="5" xfId="0" applyNumberFormat="1" applyFont="1" applyFill="1" applyBorder="1" applyAlignment="1" applyProtection="1">
      <alignment horizontal="center" vertical="center" wrapText="1"/>
      <protection hidden="1"/>
    </xf>
    <xf numFmtId="174" fontId="7" fillId="9" borderId="58" xfId="1" applyNumberFormat="1" applyFont="1" applyFill="1" applyBorder="1" applyAlignment="1" applyProtection="1">
      <alignment vertical="center" wrapText="1"/>
      <protection hidden="1"/>
    </xf>
    <xf numFmtId="174" fontId="7" fillId="9" borderId="65" xfId="1" applyNumberFormat="1" applyFont="1" applyFill="1" applyBorder="1" applyAlignment="1" applyProtection="1">
      <alignment vertical="center" wrapText="1"/>
      <protection hidden="1"/>
    </xf>
    <xf numFmtId="174" fontId="7" fillId="9" borderId="40" xfId="1" applyNumberFormat="1" applyFont="1" applyFill="1" applyBorder="1" applyAlignment="1" applyProtection="1">
      <alignment horizontal="center" vertical="center" wrapText="1"/>
      <protection hidden="1"/>
    </xf>
    <xf numFmtId="174" fontId="7" fillId="9" borderId="42" xfId="0" applyNumberFormat="1" applyFont="1" applyFill="1" applyBorder="1" applyAlignment="1" applyProtection="1">
      <alignment horizontal="center" vertical="center" wrapText="1"/>
      <protection hidden="1"/>
    </xf>
    <xf numFmtId="174" fontId="7" fillId="9" borderId="43" xfId="1" applyNumberFormat="1" applyFont="1" applyFill="1" applyBorder="1" applyAlignment="1" applyProtection="1">
      <alignment horizontal="center" vertical="center" wrapText="1"/>
      <protection hidden="1"/>
    </xf>
    <xf numFmtId="2" fontId="6" fillId="6" borderId="7" xfId="0" applyNumberFormat="1" applyFont="1" applyFill="1" applyBorder="1" applyAlignment="1" applyProtection="1">
      <alignment horizontal="center" vertical="center"/>
      <protection hidden="1"/>
    </xf>
    <xf numFmtId="174" fontId="13" fillId="9" borderId="8" xfId="0" applyNumberFormat="1" applyFont="1" applyFill="1" applyBorder="1" applyProtection="1">
      <protection hidden="1"/>
    </xf>
    <xf numFmtId="173" fontId="7" fillId="2" borderId="41" xfId="0" applyNumberFormat="1" applyFont="1" applyFill="1" applyBorder="1" applyProtection="1">
      <protection hidden="1"/>
    </xf>
    <xf numFmtId="167" fontId="7" fillId="9" borderId="69" xfId="0" applyNumberFormat="1" applyFont="1" applyFill="1" applyBorder="1" applyAlignment="1" applyProtection="1">
      <alignment horizontal="center" vertical="center"/>
      <protection hidden="1"/>
    </xf>
    <xf numFmtId="174" fontId="7" fillId="9" borderId="26" xfId="1" applyNumberFormat="1" applyFont="1" applyFill="1" applyBorder="1" applyAlignment="1" applyProtection="1">
      <alignment vertical="center" wrapText="1"/>
      <protection hidden="1"/>
    </xf>
    <xf numFmtId="174" fontId="7" fillId="9" borderId="29" xfId="0" applyNumberFormat="1" applyFont="1" applyFill="1" applyBorder="1" applyAlignment="1" applyProtection="1">
      <alignment vertical="center" wrapText="1"/>
      <protection hidden="1"/>
    </xf>
    <xf numFmtId="2" fontId="21" fillId="3" borderId="14" xfId="0" applyNumberFormat="1" applyFont="1" applyFill="1" applyBorder="1" applyAlignment="1" applyProtection="1">
      <alignment horizontal="left" vertical="center"/>
      <protection hidden="1"/>
    </xf>
    <xf numFmtId="2" fontId="14" fillId="3" borderId="16" xfId="0" applyNumberFormat="1" applyFont="1" applyFill="1" applyBorder="1" applyProtection="1">
      <protection hidden="1"/>
    </xf>
    <xf numFmtId="2" fontId="21" fillId="3" borderId="22" xfId="0" applyNumberFormat="1" applyFont="1" applyFill="1" applyBorder="1" applyAlignment="1" applyProtection="1">
      <alignment horizontal="right" vertical="center"/>
      <protection hidden="1"/>
    </xf>
    <xf numFmtId="2" fontId="21" fillId="3" borderId="32" xfId="0" applyNumberFormat="1" applyFont="1" applyFill="1" applyBorder="1" applyAlignment="1" applyProtection="1">
      <alignment horizontal="right" vertical="center"/>
      <protection hidden="1"/>
    </xf>
    <xf numFmtId="2" fontId="21" fillId="3" borderId="23" xfId="0" applyNumberFormat="1" applyFont="1" applyFill="1" applyBorder="1" applyAlignment="1" applyProtection="1">
      <alignment horizontal="right" vertical="center"/>
      <protection hidden="1"/>
    </xf>
    <xf numFmtId="164" fontId="7" fillId="9" borderId="42" xfId="0" applyNumberFormat="1" applyFont="1" applyFill="1" applyBorder="1" applyAlignment="1" applyProtection="1">
      <alignment horizontal="center" vertical="center" wrapText="1"/>
      <protection hidden="1"/>
    </xf>
    <xf numFmtId="172" fontId="9" fillId="9" borderId="43" xfId="0" applyNumberFormat="1" applyFont="1" applyFill="1" applyBorder="1" applyAlignment="1" applyProtection="1">
      <alignment horizontal="center" vertical="center"/>
      <protection hidden="1"/>
    </xf>
    <xf numFmtId="2" fontId="7" fillId="2" borderId="32" xfId="0" applyNumberFormat="1" applyFont="1" applyFill="1" applyBorder="1" applyProtection="1">
      <protection hidden="1"/>
    </xf>
    <xf numFmtId="2" fontId="18" fillId="6" borderId="7" xfId="0" applyNumberFormat="1" applyFont="1" applyFill="1" applyBorder="1" applyAlignment="1" applyProtection="1">
      <alignment horizontal="left" vertical="center"/>
      <protection hidden="1"/>
    </xf>
    <xf numFmtId="174" fontId="7" fillId="9" borderId="8" xfId="0" applyNumberFormat="1" applyFont="1" applyFill="1" applyBorder="1" applyAlignment="1" applyProtection="1">
      <alignment horizontal="center" vertical="center"/>
      <protection hidden="1"/>
    </xf>
    <xf numFmtId="171" fontId="18" fillId="9" borderId="15" xfId="0" applyNumberFormat="1" applyFont="1" applyFill="1" applyBorder="1" applyAlignment="1" applyProtection="1">
      <alignment horizontal="center" vertical="center"/>
      <protection hidden="1"/>
    </xf>
    <xf numFmtId="1" fontId="41" fillId="9" borderId="57" xfId="0" applyNumberFormat="1" applyFont="1" applyFill="1" applyBorder="1" applyAlignment="1" applyProtection="1">
      <alignment horizontal="center" vertical="center"/>
      <protection hidden="1"/>
    </xf>
    <xf numFmtId="1" fontId="9" fillId="9" borderId="36" xfId="0" applyNumberFormat="1" applyFont="1" applyFill="1" applyBorder="1" applyAlignment="1" applyProtection="1">
      <alignment horizontal="center" vertical="center"/>
      <protection hidden="1"/>
    </xf>
    <xf numFmtId="174" fontId="7" fillId="9" borderId="2" xfId="0" applyNumberFormat="1" applyFont="1" applyFill="1" applyBorder="1" applyAlignment="1" applyProtection="1">
      <alignment horizontal="center" vertical="center"/>
      <protection hidden="1"/>
    </xf>
    <xf numFmtId="174" fontId="7" fillId="9" borderId="38" xfId="0" applyNumberFormat="1" applyFont="1" applyFill="1" applyBorder="1" applyAlignment="1" applyProtection="1">
      <alignment horizontal="center" vertical="center"/>
      <protection hidden="1"/>
    </xf>
    <xf numFmtId="2" fontId="21" fillId="3" borderId="34" xfId="0" applyNumberFormat="1" applyFont="1" applyFill="1" applyBorder="1" applyAlignment="1" applyProtection="1">
      <alignment horizontal="center" vertical="center"/>
      <protection hidden="1"/>
    </xf>
    <xf numFmtId="2" fontId="21" fillId="3" borderId="57" xfId="0" applyNumberFormat="1" applyFont="1" applyFill="1" applyBorder="1" applyAlignment="1" applyProtection="1">
      <alignment horizontal="center" wrapText="1"/>
      <protection hidden="1"/>
    </xf>
    <xf numFmtId="2" fontId="21" fillId="3" borderId="35" xfId="0" applyNumberFormat="1" applyFont="1" applyFill="1" applyBorder="1" applyAlignment="1" applyProtection="1">
      <alignment horizontal="center" vertical="center"/>
      <protection hidden="1"/>
    </xf>
    <xf numFmtId="174" fontId="7" fillId="9" borderId="19" xfId="0" applyNumberFormat="1" applyFont="1" applyFill="1" applyBorder="1" applyAlignment="1" applyProtection="1">
      <alignment horizontal="center" vertical="center"/>
      <protection hidden="1"/>
    </xf>
    <xf numFmtId="2" fontId="18" fillId="6" borderId="56" xfId="0" applyNumberFormat="1" applyFont="1" applyFill="1" applyBorder="1" applyAlignment="1" applyProtection="1">
      <alignment vertical="center"/>
      <protection hidden="1"/>
    </xf>
    <xf numFmtId="2" fontId="18" fillId="6" borderId="78" xfId="0" applyNumberFormat="1" applyFont="1" applyFill="1" applyBorder="1" applyAlignment="1" applyProtection="1">
      <alignment vertical="center"/>
      <protection hidden="1"/>
    </xf>
    <xf numFmtId="174" fontId="7" fillId="9" borderId="65" xfId="0" applyNumberFormat="1" applyFont="1" applyFill="1" applyBorder="1" applyAlignment="1" applyProtection="1">
      <alignment horizontal="center" vertical="center" wrapText="1"/>
      <protection hidden="1"/>
    </xf>
    <xf numFmtId="2" fontId="18" fillId="6" borderId="66" xfId="0" applyNumberFormat="1" applyFont="1" applyFill="1" applyBorder="1" applyAlignment="1" applyProtection="1">
      <alignment horizontal="center" vertical="center"/>
      <protection hidden="1"/>
    </xf>
    <xf numFmtId="2" fontId="21" fillId="3" borderId="36" xfId="0" applyNumberFormat="1" applyFont="1" applyFill="1" applyBorder="1" applyAlignment="1" applyProtection="1">
      <alignment horizontal="center" vertical="top"/>
      <protection hidden="1"/>
    </xf>
    <xf numFmtId="2" fontId="18" fillId="6" borderId="4" xfId="0" applyNumberFormat="1" applyFont="1" applyFill="1" applyBorder="1" applyAlignment="1" applyProtection="1">
      <alignment horizontal="center" vertical="center" wrapText="1"/>
      <protection hidden="1"/>
    </xf>
    <xf numFmtId="165" fontId="7" fillId="9" borderId="5" xfId="0" applyNumberFormat="1" applyFont="1" applyFill="1" applyBorder="1" applyAlignment="1" applyProtection="1">
      <alignment horizontal="center" vertical="center"/>
      <protection hidden="1"/>
    </xf>
    <xf numFmtId="2" fontId="26" fillId="6" borderId="5" xfId="0" applyNumberFormat="1" applyFont="1" applyFill="1" applyBorder="1" applyAlignment="1" applyProtection="1">
      <alignment horizontal="center" vertical="center" wrapText="1"/>
      <protection hidden="1"/>
    </xf>
    <xf numFmtId="2" fontId="9" fillId="0" borderId="40" xfId="0" applyNumberFormat="1" applyFont="1" applyFill="1" applyBorder="1" applyAlignment="1" applyProtection="1">
      <alignment horizontal="center" vertical="center"/>
      <protection hidden="1"/>
    </xf>
    <xf numFmtId="2" fontId="18" fillId="6" borderId="7" xfId="0" applyNumberFormat="1" applyFont="1" applyFill="1" applyBorder="1" applyAlignment="1" applyProtection="1">
      <alignment horizontal="center" vertical="center" wrapText="1"/>
      <protection hidden="1"/>
    </xf>
    <xf numFmtId="2" fontId="18" fillId="6" borderId="8" xfId="0" applyNumberFormat="1" applyFont="1" applyFill="1" applyBorder="1" applyAlignment="1" applyProtection="1">
      <alignment horizontal="center" vertical="center" wrapText="1"/>
      <protection hidden="1"/>
    </xf>
    <xf numFmtId="2" fontId="7" fillId="0" borderId="12" xfId="0" applyNumberFormat="1" applyFont="1" applyFill="1" applyBorder="1" applyAlignment="1" applyProtection="1">
      <alignment horizontal="center" vertical="center"/>
      <protection hidden="1"/>
    </xf>
    <xf numFmtId="2" fontId="8" fillId="6" borderId="14" xfId="2" applyNumberFormat="1" applyFont="1" applyFill="1" applyBorder="1" applyAlignment="1" applyProtection="1">
      <alignment horizontal="center" vertical="center"/>
      <protection hidden="1"/>
    </xf>
    <xf numFmtId="2" fontId="8" fillId="6" borderId="76" xfId="2" applyNumberFormat="1" applyFont="1" applyFill="1" applyBorder="1" applyAlignment="1" applyProtection="1">
      <alignment horizontal="center" vertical="center"/>
      <protection hidden="1"/>
    </xf>
    <xf numFmtId="0" fontId="3" fillId="6" borderId="10" xfId="2"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174" fontId="13" fillId="9" borderId="5" xfId="0" applyNumberFormat="1" applyFont="1" applyFill="1" applyBorder="1" applyAlignment="1" applyProtection="1">
      <alignment horizontal="center" vertical="center"/>
      <protection hidden="1"/>
    </xf>
    <xf numFmtId="0" fontId="40" fillId="6" borderId="8" xfId="2" applyFont="1" applyFill="1" applyBorder="1" applyAlignment="1" applyProtection="1">
      <alignment horizontal="center" vertical="center"/>
      <protection hidden="1"/>
    </xf>
    <xf numFmtId="0" fontId="31" fillId="6" borderId="34" xfId="0" applyFont="1" applyFill="1" applyBorder="1" applyAlignment="1" applyProtection="1">
      <alignment horizontal="center" vertical="center"/>
      <protection hidden="1"/>
    </xf>
    <xf numFmtId="0" fontId="31" fillId="0" borderId="40" xfId="0" applyFont="1" applyFill="1" applyBorder="1" applyAlignment="1" applyProtection="1">
      <alignment vertical="center"/>
      <protection hidden="1"/>
    </xf>
    <xf numFmtId="2" fontId="42" fillId="6" borderId="36" xfId="0" applyNumberFormat="1" applyFont="1" applyFill="1" applyBorder="1" applyAlignment="1" applyProtection="1">
      <alignment horizontal="center" vertical="center"/>
      <protection hidden="1"/>
    </xf>
    <xf numFmtId="0" fontId="32" fillId="24" borderId="4" xfId="0" applyFont="1" applyFill="1" applyBorder="1" applyAlignment="1" applyProtection="1">
      <alignment horizontal="center" vertical="center" wrapText="1"/>
      <protection hidden="1"/>
    </xf>
    <xf numFmtId="0" fontId="32" fillId="24" borderId="5" xfId="0" applyFont="1" applyFill="1" applyBorder="1" applyAlignment="1" applyProtection="1">
      <alignment horizontal="center" vertical="center"/>
      <protection hidden="1"/>
    </xf>
    <xf numFmtId="164" fontId="32" fillId="24" borderId="5" xfId="0" applyNumberFormat="1" applyFont="1" applyFill="1" applyBorder="1" applyAlignment="1" applyProtection="1">
      <alignment horizontal="center" vertical="center"/>
      <protection hidden="1"/>
    </xf>
    <xf numFmtId="169" fontId="32" fillId="24" borderId="5" xfId="0" applyNumberFormat="1" applyFont="1" applyFill="1" applyBorder="1" applyAlignment="1" applyProtection="1">
      <alignment horizontal="center" vertical="center"/>
      <protection hidden="1"/>
    </xf>
    <xf numFmtId="0" fontId="32" fillId="24" borderId="40" xfId="0" applyFont="1" applyFill="1" applyBorder="1" applyAlignment="1" applyProtection="1">
      <alignment horizontal="center" vertical="center"/>
      <protection hidden="1"/>
    </xf>
    <xf numFmtId="0" fontId="32" fillId="24" borderId="7" xfId="0" applyFont="1" applyFill="1" applyBorder="1" applyAlignment="1" applyProtection="1">
      <alignment horizontal="center" vertical="center" wrapText="1"/>
      <protection hidden="1"/>
    </xf>
    <xf numFmtId="0" fontId="32" fillId="24" borderId="8" xfId="0" applyFont="1" applyFill="1" applyBorder="1" applyAlignment="1" applyProtection="1">
      <alignment horizontal="center" vertical="center"/>
      <protection hidden="1"/>
    </xf>
    <xf numFmtId="164" fontId="32" fillId="24" borderId="8" xfId="0" applyNumberFormat="1" applyFont="1" applyFill="1" applyBorder="1" applyAlignment="1" applyProtection="1">
      <alignment horizontal="center" vertical="center"/>
      <protection hidden="1"/>
    </xf>
    <xf numFmtId="169" fontId="32" fillId="24" borderId="8" xfId="0" applyNumberFormat="1" applyFont="1" applyFill="1" applyBorder="1" applyAlignment="1" applyProtection="1">
      <alignment horizontal="center" vertical="center"/>
      <protection hidden="1"/>
    </xf>
    <xf numFmtId="0" fontId="32" fillId="24" borderId="12" xfId="0" applyFont="1" applyFill="1" applyBorder="1" applyAlignment="1" applyProtection="1">
      <alignment horizontal="center" vertical="center"/>
      <protection hidden="1"/>
    </xf>
    <xf numFmtId="0" fontId="32" fillId="0" borderId="59" xfId="0" applyFont="1" applyBorder="1" applyAlignment="1" applyProtection="1">
      <alignment horizontal="center" vertical="center"/>
      <protection hidden="1"/>
    </xf>
    <xf numFmtId="0" fontId="32" fillId="0" borderId="52" xfId="0" applyFont="1" applyBorder="1" applyProtection="1">
      <protection hidden="1"/>
    </xf>
    <xf numFmtId="0" fontId="32" fillId="0" borderId="52"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80" fontId="31" fillId="0" borderId="42" xfId="0" applyNumberFormat="1" applyFont="1" applyFill="1" applyBorder="1" applyAlignment="1" applyProtection="1">
      <alignment horizontal="center" vertical="center"/>
      <protection hidden="1"/>
    </xf>
    <xf numFmtId="11" fontId="31"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70"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5" fillId="2" borderId="0" xfId="0" applyFont="1" applyFill="1" applyBorder="1" applyAlignment="1" applyProtection="1">
      <alignment vertical="center" wrapText="1"/>
      <protection hidden="1"/>
    </xf>
    <xf numFmtId="164" fontId="7" fillId="0" borderId="0" xfId="0" applyNumberFormat="1" applyFont="1" applyProtection="1">
      <protection hidden="1"/>
    </xf>
    <xf numFmtId="1" fontId="7" fillId="9" borderId="45" xfId="0" applyNumberFormat="1" applyFont="1" applyFill="1" applyBorder="1" applyAlignment="1" applyProtection="1">
      <alignment horizontal="center" vertical="center"/>
      <protection hidden="1"/>
    </xf>
    <xf numFmtId="0" fontId="0" fillId="0" borderId="20" xfId="0" applyBorder="1" applyAlignment="1" applyProtection="1">
      <alignment horizontal="center" vertical="center" wrapText="1"/>
      <protection hidden="1"/>
    </xf>
    <xf numFmtId="0" fontId="0" fillId="16" borderId="1" xfId="0" applyFill="1" applyBorder="1" applyAlignment="1" applyProtection="1">
      <alignment horizontal="center" vertical="center" wrapText="1"/>
      <protection hidden="1"/>
    </xf>
    <xf numFmtId="0" fontId="31" fillId="23"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14" fillId="3" borderId="14" xfId="0"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0" fontId="0" fillId="0" borderId="5" xfId="0" applyBorder="1" applyAlignment="1" applyProtection="1">
      <alignment horizontal="center" vertical="center" wrapText="1"/>
      <protection hidden="1"/>
    </xf>
    <xf numFmtId="171" fontId="13" fillId="9" borderId="41" xfId="0" applyNumberFormat="1" applyFont="1" applyFill="1" applyBorder="1" applyAlignment="1" applyProtection="1">
      <alignment horizontal="center" vertical="center"/>
      <protection hidden="1"/>
    </xf>
    <xf numFmtId="171" fontId="16" fillId="3" borderId="49" xfId="0" applyNumberFormat="1" applyFont="1" applyFill="1" applyBorder="1" applyAlignment="1" applyProtection="1">
      <alignment horizontal="center" vertical="center"/>
      <protection hidden="1"/>
    </xf>
    <xf numFmtId="171" fontId="16" fillId="3" borderId="50" xfId="0" applyNumberFormat="1" applyFont="1" applyFill="1" applyBorder="1" applyAlignment="1" applyProtection="1">
      <alignment horizontal="center" vertical="center"/>
      <protection hidden="1"/>
    </xf>
    <xf numFmtId="171" fontId="16" fillId="3" borderId="51"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171" fontId="8" fillId="9" borderId="9" xfId="0" applyNumberFormat="1" applyFont="1" applyFill="1" applyBorder="1" applyAlignment="1" applyProtection="1">
      <alignment horizontal="center" vertical="center"/>
      <protection hidden="1"/>
    </xf>
    <xf numFmtId="171" fontId="8" fillId="9" borderId="10" xfId="0" applyNumberFormat="1" applyFont="1" applyFill="1" applyBorder="1" applyAlignment="1" applyProtection="1">
      <alignment horizontal="center" vertical="center"/>
      <protection hidden="1"/>
    </xf>
    <xf numFmtId="2" fontId="13" fillId="9" borderId="7"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2" fontId="13" fillId="9" borderId="12" xfId="0" applyNumberFormat="1" applyFont="1" applyFill="1" applyBorder="1" applyAlignment="1" applyProtection="1">
      <alignment horizontal="center" vertical="center"/>
      <protection hidden="1"/>
    </xf>
    <xf numFmtId="2" fontId="8" fillId="9" borderId="18" xfId="0" applyNumberFormat="1" applyFont="1" applyFill="1" applyBorder="1" applyAlignment="1" applyProtection="1">
      <alignment horizontal="center" vertical="center"/>
      <protection hidden="1"/>
    </xf>
    <xf numFmtId="2" fontId="8" fillId="9" borderId="20"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31" fillId="6" borderId="42"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50" xfId="0" applyNumberFormat="1" applyFont="1" applyFill="1" applyBorder="1" applyAlignment="1" applyProtection="1">
      <alignment horizontal="center" vertical="center" wrapText="1"/>
      <protection hidden="1"/>
    </xf>
    <xf numFmtId="174" fontId="13" fillId="9" borderId="11" xfId="0" applyNumberFormat="1" applyFont="1" applyFill="1" applyBorder="1" applyAlignment="1" applyProtection="1">
      <alignment horizontal="center" vertical="center"/>
      <protection hidden="1"/>
    </xf>
    <xf numFmtId="174" fontId="13" fillId="9" borderId="76" xfId="0" applyNumberFormat="1" applyFont="1" applyFill="1" applyBorder="1" applyAlignment="1" applyProtection="1">
      <alignment horizontal="center" vertical="center"/>
      <protection hidden="1"/>
    </xf>
    <xf numFmtId="0" fontId="32" fillId="0" borderId="0" xfId="0" applyFont="1" applyAlignment="1" applyProtection="1">
      <protection hidden="1"/>
    </xf>
    <xf numFmtId="0" fontId="29" fillId="0" borderId="0" xfId="0" applyFont="1" applyAlignment="1" applyProtection="1">
      <alignment vertical="center" wrapText="1"/>
      <protection hidden="1"/>
    </xf>
    <xf numFmtId="2" fontId="29" fillId="0" borderId="0" xfId="0" applyNumberFormat="1" applyFont="1" applyAlignment="1" applyProtection="1">
      <alignment horizontal="center" vertical="center"/>
      <protection hidden="1"/>
    </xf>
    <xf numFmtId="0" fontId="32" fillId="0" borderId="0" xfId="0" applyFont="1" applyAlignment="1" applyProtection="1">
      <alignment horizontal="left" vertical="center" wrapText="1"/>
      <protection hidden="1"/>
    </xf>
    <xf numFmtId="0" fontId="32" fillId="0" borderId="0" xfId="0" applyFont="1" applyAlignment="1" applyProtection="1">
      <alignment horizontal="center" vertical="center" wrapText="1"/>
      <protection hidden="1"/>
    </xf>
    <xf numFmtId="14" fontId="32" fillId="0" borderId="0" xfId="0" applyNumberFormat="1" applyFont="1" applyBorder="1" applyAlignment="1" applyProtection="1">
      <alignment vertical="center" wrapText="1"/>
      <protection hidden="1"/>
    </xf>
    <xf numFmtId="0" fontId="32" fillId="0" borderId="0" xfId="0" applyFont="1" applyBorder="1" applyAlignment="1" applyProtection="1">
      <alignment vertical="justify" wrapText="1" readingOrder="1"/>
      <protection hidden="1"/>
    </xf>
    <xf numFmtId="0" fontId="32" fillId="0" borderId="0" xfId="0" applyFont="1" applyBorder="1" applyAlignment="1" applyProtection="1">
      <alignment horizontal="left" vertical="center" wrapText="1"/>
      <protection hidden="1"/>
    </xf>
    <xf numFmtId="14" fontId="32" fillId="0" borderId="0" xfId="0" applyNumberFormat="1" applyFont="1" applyBorder="1" applyAlignment="1" applyProtection="1">
      <alignment horizontal="left" vertical="center" wrapText="1"/>
      <protection hidden="1"/>
    </xf>
    <xf numFmtId="0" fontId="31" fillId="0" borderId="0" xfId="0" applyFont="1" applyBorder="1" applyAlignment="1" applyProtection="1">
      <alignment vertical="justify" wrapText="1" readingOrder="1"/>
      <protection hidden="1"/>
    </xf>
    <xf numFmtId="168" fontId="32" fillId="0" borderId="0" xfId="0" applyNumberFormat="1" applyFont="1" applyBorder="1" applyAlignment="1" applyProtection="1">
      <alignment horizontal="left" vertical="center" wrapText="1"/>
      <protection hidden="1"/>
    </xf>
    <xf numFmtId="0" fontId="32" fillId="0" borderId="0" xfId="0" applyFont="1" applyBorder="1" applyAlignment="1" applyProtection="1">
      <alignment horizontal="right" vertical="center" wrapText="1"/>
      <protection hidden="1"/>
    </xf>
    <xf numFmtId="0" fontId="32" fillId="2" borderId="0" xfId="0" applyFont="1" applyFill="1" applyBorder="1" applyAlignment="1" applyProtection="1">
      <alignment horizontal="left" vertical="center" wrapText="1"/>
      <protection hidden="1"/>
    </xf>
    <xf numFmtId="0" fontId="32" fillId="0" borderId="0" xfId="0" applyFont="1" applyBorder="1" applyAlignment="1" applyProtection="1">
      <alignment vertical="center" wrapText="1"/>
      <protection hidden="1"/>
    </xf>
    <xf numFmtId="1" fontId="32" fillId="0" borderId="0" xfId="0" applyNumberFormat="1" applyFont="1" applyBorder="1" applyAlignment="1" applyProtection="1">
      <alignment horizontal="left" vertical="center" wrapText="1"/>
      <protection hidden="1"/>
    </xf>
    <xf numFmtId="171" fontId="32" fillId="0" borderId="0" xfId="0" applyNumberFormat="1" applyFont="1" applyBorder="1" applyAlignment="1" applyProtection="1">
      <alignment horizontal="left" vertical="center" wrapText="1"/>
      <protection hidden="1"/>
    </xf>
    <xf numFmtId="0" fontId="29" fillId="0" borderId="0" xfId="0" applyFont="1" applyBorder="1" applyAlignment="1" applyProtection="1">
      <alignment horizontal="left" vertical="center" wrapText="1"/>
      <protection hidden="1"/>
    </xf>
    <xf numFmtId="14" fontId="32" fillId="0" borderId="0" xfId="0" applyNumberFormat="1" applyFont="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17" fillId="0" borderId="0" xfId="0" applyFont="1" applyBorder="1" applyAlignment="1" applyProtection="1">
      <alignment horizontal="left" vertical="center" wrapText="1"/>
      <protection hidden="1"/>
    </xf>
    <xf numFmtId="2" fontId="32" fillId="0" borderId="0" xfId="0" applyNumberFormat="1" applyFont="1" applyBorder="1" applyAlignment="1" applyProtection="1">
      <alignment horizontal="center" vertical="center" wrapText="1"/>
      <protection hidden="1"/>
    </xf>
    <xf numFmtId="0" fontId="29" fillId="0" borderId="0" xfId="0" applyFont="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32" fillId="0" borderId="0" xfId="0" applyFont="1" applyFill="1" applyAlignment="1" applyProtection="1">
      <alignment horizontal="left" vertical="center" wrapText="1"/>
      <protection hidden="1"/>
    </xf>
    <xf numFmtId="2" fontId="29" fillId="0" borderId="36" xfId="0" applyNumberFormat="1" applyFont="1" applyBorder="1" applyAlignment="1" applyProtection="1">
      <alignment horizontal="center" vertical="center" wrapText="1"/>
      <protection hidden="1"/>
    </xf>
    <xf numFmtId="1" fontId="29" fillId="0" borderId="16" xfId="0" applyNumberFormat="1" applyFont="1" applyBorder="1" applyAlignment="1" applyProtection="1">
      <alignment horizontal="center" vertical="center" wrapText="1"/>
      <protection hidden="1"/>
    </xf>
    <xf numFmtId="2" fontId="29" fillId="0" borderId="16" xfId="0" applyNumberFormat="1" applyFont="1" applyBorder="1" applyAlignment="1" applyProtection="1">
      <alignment horizontal="center" vertical="center" wrapText="1"/>
      <protection hidden="1"/>
    </xf>
    <xf numFmtId="2" fontId="29" fillId="0" borderId="34" xfId="0" applyNumberFormat="1" applyFont="1" applyBorder="1" applyAlignment="1" applyProtection="1">
      <alignment horizontal="center" vertical="center" wrapText="1"/>
      <protection hidden="1"/>
    </xf>
    <xf numFmtId="2" fontId="29" fillId="0" borderId="23" xfId="0" applyNumberFormat="1"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1" fontId="32" fillId="0" borderId="4" xfId="0" applyNumberFormat="1" applyFont="1" applyBorder="1" applyAlignment="1" applyProtection="1">
      <alignment horizontal="center" vertical="center" wrapText="1"/>
      <protection hidden="1"/>
    </xf>
    <xf numFmtId="171" fontId="32" fillId="0" borderId="5" xfId="0" applyNumberFormat="1" applyFont="1" applyBorder="1" applyAlignment="1" applyProtection="1">
      <alignment horizontal="center" vertical="center" wrapText="1"/>
      <protection hidden="1"/>
    </xf>
    <xf numFmtId="171" fontId="32" fillId="0" borderId="40" xfId="0" applyNumberFormat="1" applyFont="1" applyBorder="1" applyAlignment="1" applyProtection="1">
      <alignment horizontal="center" vertical="center" wrapText="1"/>
      <protection hidden="1"/>
    </xf>
    <xf numFmtId="1" fontId="32" fillId="0" borderId="42" xfId="0" applyNumberFormat="1" applyFont="1" applyBorder="1" applyAlignment="1" applyProtection="1">
      <alignment horizontal="center" vertical="center" wrapText="1"/>
      <protection hidden="1"/>
    </xf>
    <xf numFmtId="171" fontId="32" fillId="0" borderId="43" xfId="0" applyNumberFormat="1" applyFont="1" applyBorder="1" applyAlignment="1" applyProtection="1">
      <alignment horizontal="center" vertical="center" wrapText="1"/>
      <protection hidden="1"/>
    </xf>
    <xf numFmtId="1" fontId="32" fillId="0" borderId="46" xfId="0" applyNumberFormat="1" applyFont="1" applyBorder="1" applyAlignment="1" applyProtection="1">
      <alignment horizontal="center" vertical="center" wrapText="1"/>
      <protection hidden="1"/>
    </xf>
    <xf numFmtId="171" fontId="32" fillId="0" borderId="33" xfId="0" applyNumberFormat="1" applyFont="1" applyBorder="1" applyAlignment="1" applyProtection="1">
      <alignment horizontal="center" vertical="center" wrapText="1"/>
      <protection hidden="1"/>
    </xf>
    <xf numFmtId="171" fontId="32" fillId="0" borderId="47" xfId="0" applyNumberFormat="1" applyFont="1" applyBorder="1" applyAlignment="1" applyProtection="1">
      <alignment horizontal="center" vertical="center" wrapText="1"/>
      <protection hidden="1"/>
    </xf>
    <xf numFmtId="171" fontId="32" fillId="0" borderId="0" xfId="0" applyNumberFormat="1" applyFont="1" applyBorder="1" applyAlignment="1" applyProtection="1">
      <alignment horizontal="center" vertical="center" wrapText="1"/>
      <protection hidden="1"/>
    </xf>
    <xf numFmtId="0" fontId="32" fillId="0" borderId="0" xfId="0" applyFont="1" applyAlignment="1" applyProtection="1">
      <alignment horizontal="left" vertical="justify" wrapText="1"/>
      <protection hidden="1"/>
    </xf>
    <xf numFmtId="2" fontId="17" fillId="0" borderId="36" xfId="0" applyNumberFormat="1" applyFont="1" applyBorder="1" applyAlignment="1" applyProtection="1">
      <alignment horizontal="center" vertical="center" wrapText="1"/>
      <protection hidden="1"/>
    </xf>
    <xf numFmtId="1" fontId="17" fillId="0" borderId="36" xfId="0" applyNumberFormat="1" applyFont="1" applyBorder="1" applyAlignment="1" applyProtection="1">
      <alignment horizontal="center" vertical="center" wrapText="1"/>
      <protection hidden="1"/>
    </xf>
    <xf numFmtId="0" fontId="17" fillId="0" borderId="36" xfId="0" applyFont="1" applyBorder="1" applyAlignment="1" applyProtection="1">
      <alignment horizontal="center" vertical="center" wrapText="1"/>
      <protection hidden="1"/>
    </xf>
    <xf numFmtId="1" fontId="32" fillId="0" borderId="20" xfId="0" applyNumberFormat="1" applyFont="1" applyBorder="1" applyAlignment="1" applyProtection="1">
      <alignment horizontal="center" vertical="center" wrapText="1"/>
      <protection hidden="1"/>
    </xf>
    <xf numFmtId="171" fontId="32" fillId="0" borderId="20" xfId="0" applyNumberFormat="1" applyFont="1" applyBorder="1" applyAlignment="1" applyProtection="1">
      <alignment horizontal="center" vertical="center" wrapText="1"/>
      <protection hidden="1"/>
    </xf>
    <xf numFmtId="2" fontId="17" fillId="20" borderId="9" xfId="0" applyNumberFormat="1" applyFont="1" applyFill="1" applyBorder="1" applyAlignment="1" applyProtection="1">
      <alignment horizontal="center" vertical="center" wrapText="1"/>
      <protection hidden="1"/>
    </xf>
    <xf numFmtId="2" fontId="17" fillId="2" borderId="10" xfId="0" applyNumberFormat="1" applyFont="1" applyFill="1" applyBorder="1" applyAlignment="1" applyProtection="1">
      <alignment horizontal="center" vertical="center" wrapText="1"/>
      <protection hidden="1"/>
    </xf>
    <xf numFmtId="2" fontId="17" fillId="2" borderId="11" xfId="0" applyNumberFormat="1" applyFont="1" applyFill="1" applyBorder="1" applyAlignment="1" applyProtection="1">
      <alignment horizontal="center" vertical="center" wrapText="1"/>
      <protection hidden="1"/>
    </xf>
    <xf numFmtId="166" fontId="32" fillId="2" borderId="20" xfId="0" applyNumberFormat="1" applyFont="1" applyFill="1" applyBorder="1" applyAlignment="1" applyProtection="1">
      <alignment horizontal="center" vertical="center" wrapText="1"/>
      <protection hidden="1"/>
    </xf>
    <xf numFmtId="171" fontId="32" fillId="2" borderId="20" xfId="0" applyNumberFormat="1" applyFont="1" applyFill="1" applyBorder="1" applyAlignment="1" applyProtection="1">
      <alignment horizontal="center" vertical="center"/>
      <protection hidden="1"/>
    </xf>
    <xf numFmtId="164" fontId="32" fillId="2" borderId="20" xfId="0" applyNumberFormat="1" applyFont="1" applyFill="1" applyBorder="1" applyAlignment="1" applyProtection="1">
      <alignment horizontal="center" vertical="center"/>
      <protection hidden="1"/>
    </xf>
    <xf numFmtId="169" fontId="32" fillId="2" borderId="1" xfId="0" applyNumberFormat="1" applyFont="1" applyFill="1" applyBorder="1" applyAlignment="1" applyProtection="1">
      <alignment horizontal="center" vertical="center" wrapText="1"/>
      <protection hidden="1"/>
    </xf>
    <xf numFmtId="171" fontId="32" fillId="2" borderId="1" xfId="0" applyNumberFormat="1" applyFont="1" applyFill="1" applyBorder="1" applyAlignment="1" applyProtection="1">
      <alignment horizontal="center" vertical="center"/>
      <protection hidden="1"/>
    </xf>
    <xf numFmtId="1" fontId="32" fillId="0" borderId="0" xfId="0" applyNumberFormat="1" applyFont="1" applyBorder="1" applyAlignment="1" applyProtection="1">
      <alignment horizontal="center" vertical="center" wrapText="1"/>
      <protection hidden="1"/>
    </xf>
    <xf numFmtId="2" fontId="17" fillId="0" borderId="14" xfId="0" applyNumberFormat="1" applyFont="1" applyBorder="1" applyAlignment="1" applyProtection="1">
      <alignment horizontal="center" vertical="center" wrapText="1"/>
      <protection hidden="1"/>
    </xf>
    <xf numFmtId="0" fontId="17" fillId="20" borderId="36" xfId="0" applyFont="1" applyFill="1" applyBorder="1" applyAlignment="1" applyProtection="1">
      <alignment horizontal="center" vertical="center" wrapText="1"/>
      <protection hidden="1"/>
    </xf>
    <xf numFmtId="2" fontId="8" fillId="0" borderId="0" xfId="0" applyNumberFormat="1" applyFont="1" applyBorder="1" applyAlignment="1" applyProtection="1">
      <alignment vertical="center" wrapText="1"/>
      <protection hidden="1"/>
    </xf>
    <xf numFmtId="165" fontId="32" fillId="0" borderId="20" xfId="0" applyNumberFormat="1" applyFont="1" applyBorder="1" applyAlignment="1" applyProtection="1">
      <alignment horizontal="center" vertical="center" wrapText="1"/>
      <protection hidden="1"/>
    </xf>
    <xf numFmtId="164" fontId="32" fillId="0" borderId="20" xfId="0" applyNumberFormat="1" applyFont="1" applyBorder="1" applyAlignment="1" applyProtection="1">
      <alignment horizontal="center" vertical="center" wrapText="1"/>
      <protection hidden="1"/>
    </xf>
    <xf numFmtId="169" fontId="32" fillId="0" borderId="1" xfId="0" applyNumberFormat="1" applyFont="1" applyBorder="1" applyAlignment="1" applyProtection="1">
      <alignment horizontal="center" vertical="center" wrapText="1"/>
      <protection hidden="1"/>
    </xf>
    <xf numFmtId="169" fontId="32" fillId="0" borderId="20" xfId="0" applyNumberFormat="1"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2" fontId="50" fillId="2" borderId="79" xfId="0" applyNumberFormat="1" applyFont="1" applyFill="1" applyBorder="1" applyAlignment="1" applyProtection="1">
      <alignment horizontal="center" vertical="center" wrapText="1"/>
      <protection hidden="1"/>
    </xf>
    <xf numFmtId="2" fontId="50" fillId="2" borderId="80" xfId="0" applyNumberFormat="1" applyFont="1" applyFill="1" applyBorder="1" applyAlignment="1" applyProtection="1">
      <alignment horizontal="center" vertical="center" wrapText="1"/>
      <protection hidden="1"/>
    </xf>
    <xf numFmtId="0" fontId="50" fillId="2" borderId="80" xfId="0" applyFont="1" applyFill="1" applyBorder="1" applyAlignment="1" applyProtection="1">
      <alignment horizontal="center" vertical="center" wrapText="1"/>
      <protection hidden="1"/>
    </xf>
    <xf numFmtId="170" fontId="50" fillId="2" borderId="80" xfId="0" applyNumberFormat="1" applyFont="1" applyFill="1" applyBorder="1" applyAlignment="1" applyProtection="1">
      <alignment horizontal="center" vertical="center" wrapText="1"/>
      <protection hidden="1"/>
    </xf>
    <xf numFmtId="0" fontId="50" fillId="2" borderId="81" xfId="0" applyFont="1" applyFill="1" applyBorder="1" applyAlignment="1" applyProtection="1">
      <alignment horizontal="left" vertical="center" wrapText="1"/>
      <protection hidden="1"/>
    </xf>
    <xf numFmtId="0" fontId="51" fillId="0" borderId="0" xfId="0" applyFont="1" applyBorder="1" applyProtection="1">
      <protection hidden="1"/>
    </xf>
    <xf numFmtId="0" fontId="51" fillId="0" borderId="0" xfId="0" applyFont="1" applyProtection="1">
      <protection hidden="1"/>
    </xf>
    <xf numFmtId="0" fontId="51" fillId="0" borderId="0" xfId="0" applyFont="1" applyBorder="1" applyAlignment="1" applyProtection="1">
      <alignment horizontal="center" vertical="center" wrapText="1"/>
      <protection hidden="1"/>
    </xf>
    <xf numFmtId="2" fontId="8" fillId="0" borderId="0" xfId="0" applyNumberFormat="1" applyFont="1" applyAlignment="1" applyProtection="1">
      <alignment horizontal="center" vertical="justify" wrapText="1"/>
      <protection hidden="1"/>
    </xf>
    <xf numFmtId="0" fontId="32" fillId="0" borderId="36" xfId="0" applyFont="1" applyBorder="1" applyAlignment="1" applyProtection="1">
      <alignment horizontal="left" vertical="center" wrapText="1"/>
      <protection hidden="1"/>
    </xf>
    <xf numFmtId="0" fontId="44" fillId="0" borderId="34" xfId="0" applyFont="1" applyBorder="1" applyAlignment="1" applyProtection="1">
      <alignment horizontal="left" vertical="center" wrapText="1"/>
      <protection hidden="1"/>
    </xf>
    <xf numFmtId="0" fontId="44" fillId="0" borderId="36" xfId="0" applyFont="1" applyBorder="1" applyAlignment="1" applyProtection="1">
      <alignment horizontal="left" vertical="center" wrapText="1"/>
      <protection hidden="1"/>
    </xf>
    <xf numFmtId="11" fontId="32" fillId="0" borderId="0" xfId="0" applyNumberFormat="1" applyFont="1" applyProtection="1">
      <protection hidden="1"/>
    </xf>
    <xf numFmtId="0" fontId="32" fillId="0" borderId="0" xfId="0" applyFont="1" applyAlignment="1" applyProtection="1">
      <alignment vertical="justify" wrapText="1"/>
      <protection hidden="1"/>
    </xf>
    <xf numFmtId="168" fontId="32" fillId="0" borderId="0" xfId="0" applyNumberFormat="1" applyFont="1" applyAlignment="1" applyProtection="1">
      <alignment horizontal="center" vertical="center" wrapText="1"/>
      <protection hidden="1"/>
    </xf>
    <xf numFmtId="0" fontId="32" fillId="0" borderId="0" xfId="0" applyFont="1" applyAlignment="1" applyProtection="1">
      <alignment vertical="center" wrapText="1"/>
      <protection hidden="1"/>
    </xf>
    <xf numFmtId="0" fontId="29" fillId="0" borderId="0" xfId="0" applyFont="1" applyAlignment="1" applyProtection="1">
      <alignment horizontal="center" vertical="center" wrapText="1"/>
      <protection hidden="1"/>
    </xf>
    <xf numFmtId="169" fontId="32" fillId="0" borderId="0" xfId="0" applyNumberFormat="1" applyFont="1" applyBorder="1" applyAlignment="1" applyProtection="1">
      <alignment horizontal="center" vertical="center" wrapText="1"/>
      <protection hidden="1"/>
    </xf>
    <xf numFmtId="0" fontId="47" fillId="0" borderId="37" xfId="0" applyFont="1" applyBorder="1" applyAlignment="1" applyProtection="1">
      <alignment horizontal="left" vertical="center" wrapText="1"/>
      <protection hidden="1"/>
    </xf>
    <xf numFmtId="0" fontId="48" fillId="0" borderId="0" xfId="0" applyFont="1" applyProtection="1">
      <protection hidden="1"/>
    </xf>
    <xf numFmtId="0" fontId="17" fillId="0" borderId="0" xfId="0" applyFont="1" applyBorder="1" applyAlignment="1" applyProtection="1">
      <alignment horizontal="center" vertical="center" wrapText="1"/>
      <protection hidden="1"/>
    </xf>
    <xf numFmtId="0" fontId="29" fillId="2" borderId="0" xfId="0" applyFont="1" applyFill="1" applyBorder="1" applyAlignment="1" applyProtection="1">
      <alignment horizontal="left" vertical="center" wrapText="1"/>
      <protection hidden="1"/>
    </xf>
    <xf numFmtId="0" fontId="17" fillId="0" borderId="16" xfId="0" applyFont="1" applyBorder="1" applyAlignment="1" applyProtection="1">
      <alignment horizontal="center" vertical="center" wrapText="1"/>
      <protection hidden="1"/>
    </xf>
    <xf numFmtId="171" fontId="31" fillId="0" borderId="35" xfId="0" applyNumberFormat="1" applyFont="1" applyBorder="1" applyAlignment="1" applyProtection="1">
      <alignment horizontal="center" vertical="center" wrapText="1"/>
      <protection hidden="1"/>
    </xf>
    <xf numFmtId="171" fontId="31" fillId="0" borderId="6" xfId="0" applyNumberFormat="1" applyFont="1" applyBorder="1" applyAlignment="1" applyProtection="1">
      <alignment horizontal="center" vertical="center" wrapText="1"/>
      <protection hidden="1"/>
    </xf>
    <xf numFmtId="0" fontId="6" fillId="0" borderId="43"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3" fillId="13" borderId="77"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protection hidden="1"/>
    </xf>
    <xf numFmtId="0" fontId="43" fillId="13" borderId="52" xfId="0" applyFont="1" applyFill="1" applyBorder="1" applyAlignment="1" applyProtection="1">
      <alignment horizontal="center" vertical="center" wrapText="1"/>
      <protection hidden="1"/>
    </xf>
    <xf numFmtId="0" fontId="43" fillId="13" borderId="60" xfId="0" applyFont="1" applyFill="1" applyBorder="1" applyAlignment="1" applyProtection="1">
      <alignment horizontal="center" vertical="center" wrapText="1"/>
      <protection hidden="1"/>
    </xf>
    <xf numFmtId="0" fontId="0" fillId="0" borderId="0" xfId="0" applyProtection="1">
      <protection hidden="1"/>
    </xf>
    <xf numFmtId="2" fontId="7" fillId="2" borderId="0" xfId="0" applyNumberFormat="1" applyFont="1" applyFill="1" applyBorder="1" applyAlignment="1" applyProtection="1">
      <alignment vertical="center"/>
      <protection locked="0" hidden="1"/>
    </xf>
    <xf numFmtId="171" fontId="29" fillId="2" borderId="11" xfId="0" applyNumberFormat="1" applyFont="1" applyFill="1" applyBorder="1" applyAlignment="1" applyProtection="1">
      <alignment horizontal="center" vertical="center" wrapText="1"/>
      <protection hidden="1"/>
    </xf>
    <xf numFmtId="1" fontId="52" fillId="0" borderId="0" xfId="0" applyNumberFormat="1" applyFont="1" applyBorder="1" applyAlignment="1" applyProtection="1">
      <alignment horizontal="left" vertical="center" wrapText="1"/>
      <protection hidden="1"/>
    </xf>
    <xf numFmtId="2" fontId="52" fillId="14" borderId="0" xfId="3" applyFont="1" applyBorder="1" applyAlignment="1" applyProtection="1">
      <alignment horizontal="center" vertical="center" wrapText="1"/>
      <protection hidden="1"/>
    </xf>
    <xf numFmtId="181" fontId="32" fillId="16" borderId="1" xfId="0" applyNumberFormat="1" applyFont="1" applyFill="1" applyBorder="1" applyAlignment="1" applyProtection="1">
      <alignment horizontal="center" vertical="center"/>
      <protection hidden="1"/>
    </xf>
    <xf numFmtId="184" fontId="7" fillId="9" borderId="1"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31" fillId="20" borderId="4" xfId="0" applyFont="1" applyFill="1" applyBorder="1" applyAlignment="1" applyProtection="1">
      <alignment horizontal="center" vertical="center"/>
      <protection hidden="1"/>
    </xf>
    <xf numFmtId="0" fontId="31" fillId="20" borderId="5" xfId="0" applyFont="1" applyFill="1" applyBorder="1" applyAlignment="1" applyProtection="1">
      <alignment horizontal="center" vertical="center"/>
      <protection hidden="1"/>
    </xf>
    <xf numFmtId="171" fontId="31" fillId="20" borderId="5" xfId="0" applyNumberFormat="1" applyFont="1" applyFill="1" applyBorder="1" applyAlignment="1" applyProtection="1">
      <alignment horizontal="center" vertical="center"/>
      <protection hidden="1"/>
    </xf>
    <xf numFmtId="0" fontId="31" fillId="20" borderId="60" xfId="0" applyFont="1" applyFill="1" applyBorder="1" applyAlignment="1" applyProtection="1">
      <alignment horizontal="center" vertical="center"/>
      <protection hidden="1"/>
    </xf>
    <xf numFmtId="0" fontId="31" fillId="20" borderId="42" xfId="0" applyFont="1" applyFill="1" applyBorder="1" applyAlignment="1" applyProtection="1">
      <alignment horizontal="center" vertical="center"/>
      <protection hidden="1"/>
    </xf>
    <xf numFmtId="0" fontId="31" fillId="20" borderId="20" xfId="0" applyFont="1" applyFill="1" applyBorder="1" applyAlignment="1" applyProtection="1">
      <alignment horizontal="center" vertical="center"/>
      <protection hidden="1"/>
    </xf>
    <xf numFmtId="171" fontId="31" fillId="20" borderId="20" xfId="0" applyNumberFormat="1" applyFont="1" applyFill="1" applyBorder="1" applyAlignment="1" applyProtection="1">
      <alignment horizontal="center" vertical="center"/>
      <protection hidden="1"/>
    </xf>
    <xf numFmtId="0" fontId="31" fillId="20" borderId="43" xfId="0" applyFont="1" applyFill="1" applyBorder="1" applyAlignment="1" applyProtection="1">
      <alignment horizontal="center" vertical="center"/>
      <protection hidden="1"/>
    </xf>
    <xf numFmtId="171" fontId="31" fillId="20" borderId="7" xfId="0" applyNumberFormat="1" applyFont="1" applyFill="1" applyBorder="1" applyAlignment="1" applyProtection="1">
      <alignment horizontal="center" vertical="center"/>
      <protection hidden="1"/>
    </xf>
    <xf numFmtId="0" fontId="31" fillId="20" borderId="50" xfId="0" applyFont="1" applyFill="1" applyBorder="1" applyAlignment="1" applyProtection="1">
      <alignment horizontal="center" vertical="center"/>
      <protection hidden="1"/>
    </xf>
    <xf numFmtId="171" fontId="31" fillId="20" borderId="50" xfId="0" applyNumberFormat="1" applyFont="1" applyFill="1" applyBorder="1" applyAlignment="1" applyProtection="1">
      <alignment horizontal="center" vertical="center"/>
      <protection hidden="1"/>
    </xf>
    <xf numFmtId="0" fontId="31" fillId="20" borderId="12" xfId="0" applyFont="1" applyFill="1" applyBorder="1" applyAlignment="1" applyProtection="1">
      <alignment horizontal="center" vertical="center"/>
      <protection hidden="1"/>
    </xf>
    <xf numFmtId="0" fontId="31" fillId="20" borderId="40" xfId="0" applyFont="1" applyFill="1" applyBorder="1" applyAlignment="1" applyProtection="1">
      <alignment horizontal="center" vertical="center"/>
      <protection hidden="1"/>
    </xf>
    <xf numFmtId="171" fontId="31" fillId="20" borderId="42" xfId="0" applyNumberFormat="1" applyFont="1" applyFill="1" applyBorder="1" applyAlignment="1" applyProtection="1">
      <alignment horizontal="center" vertical="center"/>
      <protection hidden="1"/>
    </xf>
    <xf numFmtId="171" fontId="31" fillId="20" borderId="1" xfId="0" applyNumberFormat="1" applyFont="1" applyFill="1" applyBorder="1" applyAlignment="1" applyProtection="1">
      <alignment horizontal="center" vertical="center"/>
      <protection hidden="1"/>
    </xf>
    <xf numFmtId="0" fontId="31" fillId="20" borderId="7" xfId="0" applyFont="1" applyFill="1" applyBorder="1" applyAlignment="1" applyProtection="1">
      <alignment horizontal="center" vertical="center"/>
      <protection hidden="1"/>
    </xf>
    <xf numFmtId="0" fontId="31" fillId="20" borderId="8" xfId="0" applyFont="1" applyFill="1" applyBorder="1" applyAlignment="1" applyProtection="1">
      <alignment horizontal="center" vertical="center"/>
      <protection hidden="1"/>
    </xf>
    <xf numFmtId="0" fontId="31" fillId="20" borderId="1" xfId="0" applyFont="1" applyFill="1" applyBorder="1" applyAlignment="1" applyProtection="1">
      <alignment horizontal="center" vertical="center"/>
      <protection hidden="1"/>
    </xf>
    <xf numFmtId="171" fontId="31" fillId="20" borderId="4" xfId="0" applyNumberFormat="1" applyFont="1" applyFill="1" applyBorder="1" applyAlignment="1" applyProtection="1">
      <alignment horizontal="center" vertical="center"/>
      <protection hidden="1"/>
    </xf>
    <xf numFmtId="178" fontId="31" fillId="20" borderId="5" xfId="0" applyNumberFormat="1" applyFont="1" applyFill="1" applyBorder="1" applyAlignment="1" applyProtection="1">
      <alignment horizontal="center" vertical="center" wrapText="1"/>
      <protection hidden="1"/>
    </xf>
    <xf numFmtId="178" fontId="31" fillId="20" borderId="40" xfId="0" applyNumberFormat="1" applyFont="1" applyFill="1" applyBorder="1" applyAlignment="1" applyProtection="1">
      <alignment horizontal="center" vertical="center" wrapText="1"/>
      <protection hidden="1"/>
    </xf>
    <xf numFmtId="178" fontId="31" fillId="20" borderId="1" xfId="0" applyNumberFormat="1" applyFont="1" applyFill="1" applyBorder="1" applyAlignment="1" applyProtection="1">
      <alignment horizontal="center" vertical="center" wrapText="1"/>
      <protection hidden="1"/>
    </xf>
    <xf numFmtId="178" fontId="31" fillId="20" borderId="43" xfId="0" applyNumberFormat="1" applyFont="1" applyFill="1" applyBorder="1" applyAlignment="1" applyProtection="1">
      <alignment horizontal="center" vertical="center" wrapText="1"/>
      <protection hidden="1"/>
    </xf>
    <xf numFmtId="178" fontId="31" fillId="20" borderId="8" xfId="0" applyNumberFormat="1" applyFont="1" applyFill="1" applyBorder="1" applyAlignment="1" applyProtection="1">
      <alignment horizontal="center" vertical="center" wrapText="1"/>
      <protection hidden="1"/>
    </xf>
    <xf numFmtId="178" fontId="31" fillId="20" borderId="12" xfId="0" applyNumberFormat="1" applyFont="1" applyFill="1" applyBorder="1" applyAlignment="1" applyProtection="1">
      <alignment horizontal="center" vertical="center" wrapText="1"/>
      <protection hidden="1"/>
    </xf>
    <xf numFmtId="171" fontId="31" fillId="20" borderId="40" xfId="0" applyNumberFormat="1" applyFont="1" applyFill="1" applyBorder="1" applyAlignment="1" applyProtection="1">
      <alignment horizontal="center" vertical="center" wrapText="1"/>
      <protection hidden="1"/>
    </xf>
    <xf numFmtId="171" fontId="31" fillId="20" borderId="43" xfId="0" applyNumberFormat="1" applyFont="1" applyFill="1" applyBorder="1" applyAlignment="1" applyProtection="1">
      <alignment horizontal="center" vertical="center" wrapText="1"/>
      <protection hidden="1"/>
    </xf>
    <xf numFmtId="171" fontId="31" fillId="20" borderId="8" xfId="0" applyNumberFormat="1" applyFont="1" applyFill="1" applyBorder="1" applyAlignment="1" applyProtection="1">
      <alignment horizontal="center" vertical="center"/>
      <protection hidden="1"/>
    </xf>
    <xf numFmtId="171" fontId="0" fillId="20" borderId="12" xfId="0" applyNumberFormat="1" applyFill="1" applyBorder="1" applyAlignment="1" applyProtection="1">
      <alignment horizontal="center" vertical="center" wrapText="1"/>
      <protection hidden="1"/>
    </xf>
    <xf numFmtId="171" fontId="31" fillId="20" borderId="12" xfId="0" applyNumberFormat="1" applyFont="1" applyFill="1" applyBorder="1" applyAlignment="1" applyProtection="1">
      <alignment horizontal="center" vertical="center" wrapText="1"/>
      <protection hidden="1"/>
    </xf>
    <xf numFmtId="0" fontId="31" fillId="20" borderId="12" xfId="0" applyFont="1" applyFill="1" applyBorder="1" applyAlignment="1" applyProtection="1">
      <alignment horizontal="center" vertical="center" wrapText="1"/>
      <protection hidden="1"/>
    </xf>
    <xf numFmtId="0" fontId="6" fillId="6" borderId="43" xfId="0" applyFont="1" applyFill="1" applyBorder="1" applyAlignment="1" applyProtection="1">
      <alignment horizontal="center" vertical="center"/>
      <protection hidden="1"/>
    </xf>
    <xf numFmtId="0" fontId="32" fillId="6" borderId="42" xfId="0" applyFont="1" applyFill="1" applyBorder="1" applyAlignment="1" applyProtection="1">
      <alignment horizontal="center" vertical="center"/>
      <protection hidden="1"/>
    </xf>
    <xf numFmtId="10" fontId="32" fillId="6" borderId="43" xfId="0" applyNumberFormat="1" applyFont="1" applyFill="1" applyBorder="1" applyAlignment="1" applyProtection="1">
      <alignment horizontal="center" vertical="center"/>
      <protection hidden="1"/>
    </xf>
    <xf numFmtId="183" fontId="7" fillId="7" borderId="1" xfId="0" applyNumberFormat="1" applyFont="1" applyFill="1" applyBorder="1" applyAlignment="1" applyProtection="1">
      <alignment horizontal="center" vertical="center"/>
      <protection locked="0" hidden="1"/>
    </xf>
    <xf numFmtId="186" fontId="7" fillId="9" borderId="1" xfId="0" applyNumberFormat="1" applyFont="1" applyFill="1" applyBorder="1" applyAlignment="1" applyProtection="1">
      <alignment horizontal="center" vertical="center"/>
      <protection hidden="1"/>
    </xf>
    <xf numFmtId="166" fontId="7" fillId="6" borderId="71"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40"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5" fontId="7" fillId="9" borderId="5" xfId="0" applyNumberFormat="1" applyFont="1" applyFill="1" applyBorder="1" applyAlignment="1" applyProtection="1">
      <alignment horizontal="center" vertical="center"/>
      <protection hidden="1"/>
    </xf>
    <xf numFmtId="164" fontId="7" fillId="16" borderId="40" xfId="0" applyNumberFormat="1" applyFont="1" applyFill="1" applyBorder="1" applyAlignment="1" applyProtection="1">
      <alignment horizontal="center" vertical="center"/>
      <protection hidden="1"/>
    </xf>
    <xf numFmtId="184" fontId="7" fillId="9" borderId="8" xfId="0" applyNumberFormat="1" applyFont="1" applyFill="1" applyBorder="1" applyAlignment="1" applyProtection="1">
      <alignment horizontal="center" vertical="center"/>
      <protection hidden="1"/>
    </xf>
    <xf numFmtId="186" fontId="7" fillId="9" borderId="8"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 fontId="7" fillId="6" borderId="52" xfId="0" applyNumberFormat="1" applyFont="1" applyFill="1" applyBorder="1" applyAlignment="1" applyProtection="1">
      <alignment horizontal="center" vertical="center"/>
      <protection hidden="1"/>
    </xf>
    <xf numFmtId="1" fontId="7" fillId="6" borderId="60" xfId="0" applyNumberFormat="1" applyFont="1" applyFill="1" applyBorder="1" applyAlignment="1" applyProtection="1">
      <alignment horizontal="center" vertical="center"/>
      <protection hidden="1"/>
    </xf>
    <xf numFmtId="183" fontId="7" fillId="7" borderId="43" xfId="0" applyNumberFormat="1" applyFont="1" applyFill="1" applyBorder="1" applyAlignment="1" applyProtection="1">
      <alignment horizontal="center" vertical="center"/>
      <protection locked="0" hidden="1"/>
    </xf>
    <xf numFmtId="2" fontId="13" fillId="6" borderId="35" xfId="0" applyNumberFormat="1" applyFont="1" applyFill="1" applyBorder="1" applyAlignment="1" applyProtection="1">
      <alignment horizontal="center" wrapText="1"/>
      <protection hidden="1"/>
    </xf>
    <xf numFmtId="1" fontId="13" fillId="9" borderId="35" xfId="0" applyNumberFormat="1" applyFont="1" applyFill="1" applyBorder="1" applyAlignment="1" applyProtection="1">
      <alignment horizontal="center" vertical="center"/>
      <protection hidden="1"/>
    </xf>
    <xf numFmtId="2" fontId="13" fillId="6" borderId="42" xfId="0" applyNumberFormat="1" applyFont="1" applyFill="1" applyBorder="1" applyAlignment="1" applyProtection="1">
      <alignment horizontal="center" vertical="center" wrapText="1"/>
      <protection hidden="1"/>
    </xf>
    <xf numFmtId="2" fontId="13" fillId="6" borderId="7" xfId="0" applyNumberFormat="1" applyFont="1" applyFill="1" applyBorder="1" applyAlignment="1" applyProtection="1">
      <alignment horizontal="center" vertic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6"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6" xfId="0" applyNumberFormat="1" applyFont="1" applyFill="1" applyBorder="1" applyAlignment="1" applyProtection="1">
      <alignment horizontal="center" vertical="center" wrapText="1"/>
      <protection hidden="1"/>
    </xf>
    <xf numFmtId="0" fontId="26" fillId="6" borderId="23" xfId="0" applyFont="1" applyFill="1" applyBorder="1" applyAlignment="1" applyProtection="1">
      <alignment horizontal="center" vertical="center" wrapText="1"/>
      <protection hidden="1"/>
    </xf>
    <xf numFmtId="1" fontId="26" fillId="6" borderId="36" xfId="0" applyNumberFormat="1" applyFont="1" applyFill="1" applyBorder="1" applyAlignment="1" applyProtection="1">
      <alignment horizontal="center" vertical="center" wrapText="1"/>
      <protection hidden="1"/>
    </xf>
    <xf numFmtId="0" fontId="26" fillId="6" borderId="16" xfId="0" applyFont="1" applyFill="1" applyBorder="1" applyAlignment="1" applyProtection="1">
      <alignment horizontal="center" vertical="center" wrapText="1"/>
      <protection hidden="1"/>
    </xf>
    <xf numFmtId="2" fontId="13" fillId="6" borderId="36" xfId="0" applyNumberFormat="1" applyFont="1" applyFill="1" applyBorder="1" applyAlignment="1" applyProtection="1">
      <alignment horizontal="center" vertical="center"/>
      <protection hidden="1"/>
    </xf>
    <xf numFmtId="0" fontId="44" fillId="6" borderId="4" xfId="0" applyFont="1" applyFill="1" applyBorder="1" applyAlignment="1" applyProtection="1">
      <alignment horizontal="center" vertical="center" wrapText="1"/>
      <protection hidden="1"/>
    </xf>
    <xf numFmtId="0" fontId="45" fillId="6" borderId="5" xfId="0" applyFont="1" applyFill="1" applyBorder="1" applyAlignment="1" applyProtection="1">
      <alignment horizontal="center" vertical="center" wrapText="1"/>
      <protection hidden="1"/>
    </xf>
    <xf numFmtId="0" fontId="44" fillId="6" borderId="40" xfId="0" applyFont="1" applyFill="1" applyBorder="1" applyAlignment="1" applyProtection="1">
      <alignment horizontal="center" vertical="center" wrapText="1"/>
      <protection hidden="1"/>
    </xf>
    <xf numFmtId="0" fontId="44" fillId="6" borderId="7" xfId="0" applyFont="1" applyFill="1" applyBorder="1" applyAlignment="1" applyProtection="1">
      <alignment horizontal="center" vertical="center" wrapText="1"/>
      <protection hidden="1"/>
    </xf>
    <xf numFmtId="0" fontId="44" fillId="6" borderId="8" xfId="0" applyFont="1" applyFill="1" applyBorder="1" applyAlignment="1" applyProtection="1">
      <alignment horizontal="center" vertical="center" wrapText="1"/>
      <protection hidden="1"/>
    </xf>
    <xf numFmtId="0" fontId="44" fillId="6" borderId="12" xfId="0" applyFont="1" applyFill="1" applyBorder="1" applyAlignment="1" applyProtection="1">
      <alignment horizontal="center" vertical="center" wrapText="1"/>
      <protection hidden="1"/>
    </xf>
    <xf numFmtId="0" fontId="26" fillId="6" borderId="36" xfId="0" applyFont="1" applyFill="1" applyBorder="1" applyAlignment="1" applyProtection="1">
      <alignment horizontal="center" vertical="center" wrapText="1"/>
      <protection hidden="1"/>
    </xf>
    <xf numFmtId="0" fontId="31" fillId="6" borderId="1" xfId="0" applyNumberFormat="1" applyFont="1" applyFill="1" applyBorder="1" applyAlignment="1" applyProtection="1">
      <alignment horizontal="center" vertical="center" wrapText="1"/>
      <protection hidden="1"/>
    </xf>
    <xf numFmtId="0" fontId="31" fillId="6" borderId="43" xfId="0" applyNumberFormat="1" applyFont="1" applyFill="1" applyBorder="1" applyAlignment="1" applyProtection="1">
      <alignment horizontal="center" vertical="center" wrapText="1"/>
      <protection hidden="1"/>
    </xf>
    <xf numFmtId="0" fontId="31" fillId="16" borderId="1" xfId="0" applyNumberFormat="1" applyFont="1" applyFill="1" applyBorder="1" applyAlignment="1" applyProtection="1">
      <alignment horizontal="center" vertical="center"/>
      <protection locked="0" hidden="1"/>
    </xf>
    <xf numFmtId="168" fontId="31" fillId="16" borderId="1" xfId="0" applyNumberFormat="1" applyFont="1" applyFill="1" applyBorder="1" applyAlignment="1" applyProtection="1">
      <alignment horizontal="center" vertical="center"/>
      <protection locked="0" hidden="1"/>
    </xf>
    <xf numFmtId="0" fontId="31" fillId="16" borderId="1" xfId="0" applyNumberFormat="1" applyFont="1" applyFill="1" applyBorder="1" applyAlignment="1" applyProtection="1">
      <alignment horizontal="center" vertical="center" wrapText="1"/>
      <protection locked="0" hidden="1"/>
    </xf>
    <xf numFmtId="0" fontId="6" fillId="0" borderId="0" xfId="0" applyFont="1" applyProtection="1">
      <protection hidden="1"/>
    </xf>
    <xf numFmtId="0" fontId="6" fillId="0" borderId="0" xfId="0" applyFont="1" applyBorder="1" applyAlignment="1" applyProtection="1">
      <alignment horizontal="center"/>
      <protection hidden="1"/>
    </xf>
    <xf numFmtId="2" fontId="54" fillId="0" borderId="0" xfId="0" applyNumberFormat="1" applyFont="1" applyAlignment="1" applyProtection="1">
      <alignment horizontal="center" vertical="center"/>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horizontal="center" vertical="center" wrapText="1"/>
      <protection hidden="1"/>
    </xf>
    <xf numFmtId="0" fontId="6" fillId="0" borderId="0" xfId="0" applyFont="1" applyBorder="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175" fontId="6" fillId="2" borderId="0" xfId="0" applyNumberFormat="1" applyFont="1" applyFill="1" applyBorder="1" applyAlignment="1" applyProtection="1">
      <alignment horizontal="left" vertical="center" wrapText="1"/>
      <protection hidden="1"/>
    </xf>
    <xf numFmtId="189" fontId="6" fillId="2" borderId="0" xfId="0" applyNumberFormat="1" applyFont="1" applyFill="1" applyBorder="1" applyAlignment="1" applyProtection="1">
      <alignment horizontal="left" vertical="center" wrapText="1"/>
      <protection hidden="1"/>
    </xf>
    <xf numFmtId="0" fontId="54" fillId="2" borderId="0" xfId="0" applyFont="1" applyFill="1" applyBorder="1" applyAlignment="1" applyProtection="1">
      <alignment horizontal="left" vertical="center" wrapText="1"/>
      <protection hidden="1"/>
    </xf>
    <xf numFmtId="14" fontId="6" fillId="0" borderId="0" xfId="0" applyNumberFormat="1" applyFont="1" applyAlignment="1" applyProtection="1">
      <alignment horizontal="center" vertical="center" wrapText="1"/>
      <protection hidden="1"/>
    </xf>
    <xf numFmtId="0" fontId="54" fillId="0" borderId="0" xfId="0" applyFont="1" applyBorder="1" applyAlignment="1" applyProtection="1">
      <alignment horizontal="left" vertical="center" wrapText="1"/>
      <protection hidden="1"/>
    </xf>
    <xf numFmtId="0" fontId="6" fillId="0" borderId="0" xfId="0" applyFont="1" applyBorder="1" applyAlignment="1" applyProtection="1">
      <alignment horizontal="center" vertical="center" wrapText="1"/>
      <protection hidden="1"/>
    </xf>
    <xf numFmtId="0" fontId="4" fillId="0" borderId="0" xfId="0" applyFont="1" applyBorder="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4" fillId="0" borderId="36"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171" fontId="6" fillId="0" borderId="35" xfId="0" applyNumberFormat="1" applyFont="1" applyBorder="1" applyAlignment="1" applyProtection="1">
      <alignment horizontal="center" vertical="center" wrapText="1"/>
      <protection hidden="1"/>
    </xf>
    <xf numFmtId="171" fontId="6" fillId="0" borderId="6" xfId="0" applyNumberFormat="1" applyFont="1" applyBorder="1" applyAlignment="1" applyProtection="1">
      <alignment horizontal="center" vertical="center" wrapText="1"/>
      <protection hidden="1"/>
    </xf>
    <xf numFmtId="0" fontId="54" fillId="2" borderId="0" xfId="0" applyFont="1" applyFill="1" applyAlignment="1" applyProtection="1">
      <alignment horizontal="left" vertical="center" wrapText="1"/>
      <protection hidden="1"/>
    </xf>
    <xf numFmtId="0" fontId="6" fillId="0" borderId="0" xfId="0" applyFont="1" applyFill="1" applyAlignment="1" applyProtection="1">
      <alignment horizontal="left" vertical="center" wrapText="1"/>
      <protection hidden="1"/>
    </xf>
    <xf numFmtId="2" fontId="54" fillId="0" borderId="36" xfId="0" applyNumberFormat="1" applyFont="1" applyBorder="1" applyAlignment="1" applyProtection="1">
      <alignment horizontal="center" vertical="center" wrapText="1"/>
      <protection hidden="1"/>
    </xf>
    <xf numFmtId="188" fontId="13" fillId="0" borderId="16" xfId="0" applyNumberFormat="1" applyFont="1" applyBorder="1" applyAlignment="1" applyProtection="1">
      <alignment horizontal="center" vertical="center" wrapText="1"/>
      <protection hidden="1"/>
    </xf>
    <xf numFmtId="2" fontId="54" fillId="0" borderId="16" xfId="0" applyNumberFormat="1" applyFont="1" applyBorder="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2" fontId="54" fillId="0" borderId="34" xfId="0" applyNumberFormat="1" applyFont="1" applyBorder="1" applyAlignment="1" applyProtection="1">
      <alignment horizontal="center" vertical="center" wrapText="1"/>
      <protection hidden="1"/>
    </xf>
    <xf numFmtId="2" fontId="54" fillId="0" borderId="23" xfId="0" applyNumberFormat="1" applyFont="1" applyBorder="1" applyAlignment="1" applyProtection="1">
      <alignment horizontal="center" vertical="center" wrapText="1"/>
      <protection hidden="1"/>
    </xf>
    <xf numFmtId="0" fontId="54" fillId="0" borderId="23" xfId="0" applyFont="1" applyBorder="1" applyAlignment="1" applyProtection="1">
      <alignment horizontal="center" vertical="center" wrapText="1"/>
      <protection hidden="1"/>
    </xf>
    <xf numFmtId="1" fontId="6" fillId="0" borderId="4" xfId="0" applyNumberFormat="1" applyFont="1" applyBorder="1" applyAlignment="1" applyProtection="1">
      <alignment horizontal="center" vertical="center" wrapText="1"/>
      <protection hidden="1"/>
    </xf>
    <xf numFmtId="187" fontId="6" fillId="0" borderId="5" xfId="0" applyNumberFormat="1" applyFont="1" applyBorder="1" applyAlignment="1" applyProtection="1">
      <alignment horizontal="center" vertical="center" wrapText="1"/>
      <protection hidden="1"/>
    </xf>
    <xf numFmtId="171" fontId="6" fillId="0" borderId="40" xfId="0" applyNumberFormat="1" applyFont="1" applyBorder="1" applyAlignment="1" applyProtection="1">
      <alignment horizontal="center" vertical="center" wrapText="1"/>
      <protection hidden="1"/>
    </xf>
    <xf numFmtId="1" fontId="6" fillId="0" borderId="42" xfId="0" applyNumberFormat="1" applyFont="1" applyBorder="1" applyAlignment="1" applyProtection="1">
      <alignment horizontal="center" vertical="center" wrapText="1"/>
      <protection hidden="1"/>
    </xf>
    <xf numFmtId="187" fontId="6" fillId="0" borderId="20" xfId="0" applyNumberFormat="1" applyFont="1" applyBorder="1" applyAlignment="1" applyProtection="1">
      <alignment horizontal="center" vertical="center" wrapText="1"/>
      <protection hidden="1"/>
    </xf>
    <xf numFmtId="171" fontId="6" fillId="0" borderId="43" xfId="0" applyNumberFormat="1" applyFont="1" applyBorder="1" applyAlignment="1" applyProtection="1">
      <alignment horizontal="center" vertical="center" wrapText="1"/>
      <protection hidden="1"/>
    </xf>
    <xf numFmtId="187" fontId="6" fillId="0" borderId="1" xfId="0" applyNumberFormat="1" applyFont="1" applyBorder="1" applyAlignment="1" applyProtection="1">
      <alignment horizontal="center" vertical="center" wrapText="1"/>
      <protection hidden="1"/>
    </xf>
    <xf numFmtId="1" fontId="6" fillId="0" borderId="46" xfId="0" applyNumberFormat="1" applyFont="1" applyBorder="1" applyAlignment="1" applyProtection="1">
      <alignment horizontal="center" vertical="center" wrapText="1"/>
      <protection hidden="1"/>
    </xf>
    <xf numFmtId="171" fontId="6" fillId="0" borderId="47" xfId="0" applyNumberFormat="1" applyFont="1" applyBorder="1" applyAlignment="1" applyProtection="1">
      <alignment horizontal="center" vertical="center" wrapText="1"/>
      <protection hidden="1"/>
    </xf>
    <xf numFmtId="171" fontId="54" fillId="2" borderId="11" xfId="0" applyNumberFormat="1" applyFont="1" applyFill="1" applyBorder="1" applyAlignment="1" applyProtection="1">
      <alignment horizontal="center" vertical="center" wrapText="1"/>
      <protection hidden="1"/>
    </xf>
    <xf numFmtId="171" fontId="6" fillId="0" borderId="0" xfId="0" applyNumberFormat="1" applyFont="1" applyBorder="1" applyAlignment="1" applyProtection="1">
      <alignment horizontal="center" vertical="center" wrapText="1"/>
      <protection hidden="1"/>
    </xf>
    <xf numFmtId="2" fontId="6" fillId="0" borderId="0" xfId="0" applyNumberFormat="1" applyFont="1" applyBorder="1" applyAlignment="1" applyProtection="1">
      <alignment horizontal="center" vertical="center" wrapText="1"/>
      <protection hidden="1"/>
    </xf>
    <xf numFmtId="0" fontId="6" fillId="0" borderId="0" xfId="0" applyFont="1" applyAlignment="1" applyProtection="1">
      <alignment horizontal="left" vertical="justify" wrapText="1"/>
      <protection hidden="1"/>
    </xf>
    <xf numFmtId="0" fontId="6" fillId="0" borderId="0" xfId="0" applyFont="1" applyAlignment="1" applyProtection="1">
      <alignment horizontal="center" vertical="justify" wrapText="1"/>
      <protection hidden="1"/>
    </xf>
    <xf numFmtId="2" fontId="4" fillId="0" borderId="36" xfId="0" applyNumberFormat="1" applyFont="1" applyBorder="1" applyAlignment="1" applyProtection="1">
      <alignment horizontal="center" vertical="center" wrapText="1"/>
      <protection hidden="1"/>
    </xf>
    <xf numFmtId="188" fontId="4" fillId="0" borderId="16" xfId="0" applyNumberFormat="1" applyFont="1" applyBorder="1" applyAlignment="1" applyProtection="1">
      <alignment horizontal="center" vertical="center" wrapText="1"/>
      <protection hidden="1"/>
    </xf>
    <xf numFmtId="188" fontId="4" fillId="2" borderId="16" xfId="0" applyNumberFormat="1" applyFont="1" applyFill="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187" fontId="6" fillId="0" borderId="40" xfId="0" applyNumberFormat="1" applyFont="1" applyBorder="1" applyAlignment="1" applyProtection="1">
      <alignment horizontal="center" vertical="center" wrapText="1"/>
      <protection hidden="1"/>
    </xf>
    <xf numFmtId="187" fontId="6" fillId="0" borderId="43" xfId="0" applyNumberFormat="1" applyFont="1" applyBorder="1" applyAlignment="1" applyProtection="1">
      <alignment horizontal="center" vertical="center" wrapText="1"/>
      <protection hidden="1"/>
    </xf>
    <xf numFmtId="1" fontId="6" fillId="0" borderId="7" xfId="0" applyNumberFormat="1" applyFont="1" applyBorder="1" applyAlignment="1" applyProtection="1">
      <alignment horizontal="center" vertical="center" wrapText="1"/>
      <protection hidden="1"/>
    </xf>
    <xf numFmtId="187" fontId="6" fillId="0" borderId="8" xfId="0" applyNumberFormat="1" applyFont="1" applyBorder="1" applyAlignment="1" applyProtection="1">
      <alignment horizontal="center" vertical="center" wrapText="1"/>
      <protection hidden="1"/>
    </xf>
    <xf numFmtId="187" fontId="6" fillId="0" borderId="12" xfId="0" applyNumberFormat="1" applyFont="1" applyBorder="1" applyAlignment="1" applyProtection="1">
      <alignment horizontal="center" vertical="center" wrapText="1"/>
      <protection hidden="1"/>
    </xf>
    <xf numFmtId="2" fontId="4" fillId="2" borderId="59" xfId="0" applyNumberFormat="1" applyFont="1" applyFill="1" applyBorder="1" applyAlignment="1" applyProtection="1">
      <alignment horizontal="center" vertical="center" wrapText="1"/>
      <protection hidden="1"/>
    </xf>
    <xf numFmtId="2" fontId="4" fillId="2" borderId="52" xfId="0" applyNumberFormat="1" applyFont="1" applyFill="1" applyBorder="1" applyAlignment="1" applyProtection="1">
      <alignment horizontal="center" vertical="center" wrapText="1"/>
      <protection hidden="1"/>
    </xf>
    <xf numFmtId="2" fontId="4" fillId="2" borderId="60" xfId="0" applyNumberFormat="1" applyFont="1" applyFill="1" applyBorder="1" applyAlignment="1" applyProtection="1">
      <alignment horizontal="center" vertical="center" wrapText="1"/>
      <protection hidden="1"/>
    </xf>
    <xf numFmtId="166" fontId="6" fillId="2" borderId="4" xfId="0" applyNumberFormat="1" applyFont="1" applyFill="1" applyBorder="1" applyAlignment="1" applyProtection="1">
      <alignment horizontal="center" vertical="center" wrapText="1"/>
      <protection hidden="1"/>
    </xf>
    <xf numFmtId="171" fontId="6" fillId="2" borderId="5" xfId="0" applyNumberFormat="1" applyFont="1" applyFill="1" applyBorder="1" applyAlignment="1" applyProtection="1">
      <alignment horizontal="center" vertical="center"/>
      <protection hidden="1"/>
    </xf>
    <xf numFmtId="164" fontId="6" fillId="2" borderId="40" xfId="0" applyNumberFormat="1" applyFont="1" applyFill="1" applyBorder="1" applyAlignment="1" applyProtection="1">
      <alignment horizontal="center" vertical="center"/>
      <protection hidden="1"/>
    </xf>
    <xf numFmtId="181" fontId="6" fillId="2" borderId="42" xfId="0" applyNumberFormat="1" applyFont="1" applyFill="1" applyBorder="1" applyAlignment="1" applyProtection="1">
      <alignment horizontal="center" vertical="center" wrapText="1"/>
      <protection hidden="1"/>
    </xf>
    <xf numFmtId="164" fontId="6" fillId="2" borderId="43" xfId="0" applyNumberFormat="1" applyFont="1" applyFill="1" applyBorder="1" applyAlignment="1" applyProtection="1">
      <alignment horizontal="center" vertical="center"/>
      <protection hidden="1"/>
    </xf>
    <xf numFmtId="181" fontId="6" fillId="2" borderId="7" xfId="0" applyNumberFormat="1" applyFont="1" applyFill="1" applyBorder="1" applyAlignment="1" applyProtection="1">
      <alignment horizontal="center" vertical="center" wrapText="1"/>
      <protection hidden="1"/>
    </xf>
    <xf numFmtId="1" fontId="6" fillId="0" borderId="0" xfId="0" applyNumberFormat="1" applyFont="1" applyBorder="1" applyAlignment="1" applyProtection="1">
      <alignment horizontal="center" vertical="center" wrapText="1"/>
      <protection hidden="1"/>
    </xf>
    <xf numFmtId="2" fontId="4" fillId="0" borderId="14" xfId="0" applyNumberFormat="1" applyFont="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2" fontId="13" fillId="0" borderId="0" xfId="0" applyNumberFormat="1" applyFont="1" applyBorder="1" applyAlignment="1" applyProtection="1">
      <alignment vertical="center" wrapText="1"/>
      <protection hidden="1"/>
    </xf>
    <xf numFmtId="165" fontId="6" fillId="0" borderId="4" xfId="0" applyNumberFormat="1" applyFont="1" applyBorder="1" applyAlignment="1" applyProtection="1">
      <alignment horizontal="center" vertical="center" wrapText="1"/>
      <protection hidden="1"/>
    </xf>
    <xf numFmtId="164" fontId="6" fillId="0" borderId="5" xfId="0" applyNumberFormat="1" applyFont="1" applyBorder="1" applyAlignment="1" applyProtection="1">
      <alignment horizontal="center" vertical="center" wrapText="1"/>
      <protection hidden="1"/>
    </xf>
    <xf numFmtId="164" fontId="6" fillId="0" borderId="20" xfId="0" applyNumberFormat="1" applyFont="1" applyBorder="1" applyAlignment="1" applyProtection="1">
      <alignment horizontal="center" vertical="center" wrapText="1"/>
      <protection hidden="1"/>
    </xf>
    <xf numFmtId="169" fontId="6" fillId="0" borderId="0" xfId="0" applyNumberFormat="1" applyFont="1" applyBorder="1" applyAlignment="1" applyProtection="1">
      <alignment horizontal="center" vertical="center" wrapText="1"/>
      <protection hidden="1"/>
    </xf>
    <xf numFmtId="2" fontId="54" fillId="2" borderId="0" xfId="0" applyNumberFormat="1" applyFont="1" applyFill="1" applyAlignment="1" applyProtection="1">
      <alignment horizontal="right" vertical="center"/>
      <protection hidden="1"/>
    </xf>
    <xf numFmtId="0" fontId="6" fillId="0" borderId="0" xfId="0" applyFont="1" applyBorder="1" applyProtection="1">
      <protection hidden="1"/>
    </xf>
    <xf numFmtId="0" fontId="54" fillId="0" borderId="0" xfId="0" applyFont="1" applyBorder="1" applyAlignment="1" applyProtection="1">
      <alignment horizontal="center" vertical="center" wrapText="1"/>
      <protection hidden="1"/>
    </xf>
    <xf numFmtId="2" fontId="56" fillId="2" borderId="79" xfId="0" applyNumberFormat="1" applyFont="1" applyFill="1" applyBorder="1" applyAlignment="1" applyProtection="1">
      <alignment horizontal="center" vertical="center" wrapText="1"/>
      <protection hidden="1"/>
    </xf>
    <xf numFmtId="0" fontId="56" fillId="2" borderId="80" xfId="0" applyFont="1" applyFill="1" applyBorder="1" applyAlignment="1" applyProtection="1">
      <alignment horizontal="center" vertical="center" wrapText="1"/>
      <protection hidden="1"/>
    </xf>
    <xf numFmtId="170" fontId="56" fillId="2" borderId="80" xfId="0" applyNumberFormat="1" applyFont="1" applyFill="1" applyBorder="1" applyAlignment="1" applyProtection="1">
      <alignment horizontal="center" vertical="center" wrapText="1"/>
      <protection hidden="1"/>
    </xf>
    <xf numFmtId="2" fontId="56" fillId="2" borderId="80" xfId="0" applyNumberFormat="1" applyFont="1" applyFill="1" applyBorder="1" applyAlignment="1" applyProtection="1">
      <alignment horizontal="center" vertical="center" wrapText="1"/>
      <protection hidden="1"/>
    </xf>
    <xf numFmtId="0" fontId="56" fillId="2" borderId="81" xfId="0" applyFont="1" applyFill="1" applyBorder="1" applyAlignment="1" applyProtection="1">
      <alignment horizontal="left" vertical="center" wrapText="1"/>
      <protection hidden="1"/>
    </xf>
    <xf numFmtId="0" fontId="57" fillId="0" borderId="0" xfId="0" applyFont="1" applyBorder="1" applyProtection="1">
      <protection hidden="1"/>
    </xf>
    <xf numFmtId="0" fontId="57" fillId="0" borderId="0" xfId="0" applyFont="1" applyProtection="1">
      <protection hidden="1"/>
    </xf>
    <xf numFmtId="0" fontId="57" fillId="0" borderId="0" xfId="0" applyFont="1" applyBorder="1" applyAlignment="1" applyProtection="1">
      <alignment horizontal="center" vertical="center" wrapText="1"/>
      <protection hidden="1"/>
    </xf>
    <xf numFmtId="2" fontId="13" fillId="0" borderId="0" xfId="0" applyNumberFormat="1" applyFont="1" applyAlignment="1" applyProtection="1">
      <alignment horizontal="center" vertical="justify" wrapText="1"/>
      <protection hidden="1"/>
    </xf>
    <xf numFmtId="0" fontId="6" fillId="0" borderId="36" xfId="0" applyFont="1" applyBorder="1" applyAlignment="1" applyProtection="1">
      <alignment horizontal="left" vertical="center" wrapText="1"/>
      <protection hidden="1"/>
    </xf>
    <xf numFmtId="0" fontId="26" fillId="0" borderId="34" xfId="0" applyFont="1" applyBorder="1" applyAlignment="1" applyProtection="1">
      <alignment horizontal="left" vertical="center" wrapText="1"/>
      <protection hidden="1"/>
    </xf>
    <xf numFmtId="1" fontId="6" fillId="0" borderId="0" xfId="0" applyNumberFormat="1" applyFont="1" applyBorder="1" applyAlignment="1" applyProtection="1">
      <alignment horizontal="left" vertical="center" wrapText="1"/>
      <protection hidden="1"/>
    </xf>
    <xf numFmtId="0" fontId="26" fillId="0" borderId="36" xfId="0" applyFont="1" applyBorder="1" applyAlignment="1" applyProtection="1">
      <alignment horizontal="left" vertical="center" wrapText="1"/>
      <protection hidden="1"/>
    </xf>
    <xf numFmtId="11" fontId="6" fillId="0" borderId="0" xfId="0" applyNumberFormat="1" applyFont="1" applyProtection="1">
      <protection hidden="1"/>
    </xf>
    <xf numFmtId="0" fontId="6" fillId="0" borderId="0" xfId="0" applyFont="1" applyAlignment="1" applyProtection="1">
      <alignment vertical="justify" wrapText="1"/>
      <protection hidden="1"/>
    </xf>
    <xf numFmtId="0" fontId="6" fillId="2" borderId="0" xfId="0" applyFont="1" applyFill="1" applyProtection="1">
      <protection hidden="1"/>
    </xf>
    <xf numFmtId="0" fontId="6" fillId="0" borderId="0" xfId="0" applyFont="1" applyAlignment="1" applyProtection="1">
      <alignment horizontal="justify" vertical="center" wrapText="1"/>
      <protection locked="0" hidden="1"/>
    </xf>
    <xf numFmtId="168" fontId="6" fillId="2" borderId="0" xfId="0" applyNumberFormat="1" applyFont="1" applyFill="1" applyAlignment="1" applyProtection="1">
      <alignment horizontal="left" vertical="center" wrapText="1"/>
      <protection hidden="1"/>
    </xf>
    <xf numFmtId="168" fontId="6" fillId="0" borderId="0" xfId="0" applyNumberFormat="1" applyFont="1" applyAlignment="1" applyProtection="1">
      <alignment horizontal="center" vertical="center" wrapText="1"/>
      <protection hidden="1"/>
    </xf>
    <xf numFmtId="0" fontId="6" fillId="0" borderId="0" xfId="0" applyFont="1" applyAlignment="1" applyProtection="1">
      <alignment vertical="center" wrapText="1"/>
      <protection hidden="1"/>
    </xf>
    <xf numFmtId="0" fontId="55" fillId="0" borderId="0" xfId="0" applyFont="1" applyProtection="1">
      <protection hidden="1"/>
    </xf>
    <xf numFmtId="0" fontId="4" fillId="0" borderId="0" xfId="0" applyFont="1" applyBorder="1" applyAlignment="1" applyProtection="1">
      <alignment horizontal="center" vertical="center" wrapText="1"/>
      <protection hidden="1"/>
    </xf>
    <xf numFmtId="0" fontId="31" fillId="26" borderId="4" xfId="0" applyFont="1" applyFill="1" applyBorder="1" applyAlignment="1" applyProtection="1">
      <alignment horizontal="center" vertical="center"/>
      <protection hidden="1"/>
    </xf>
    <xf numFmtId="0" fontId="31" fillId="26" borderId="5" xfId="0" applyFont="1" applyFill="1" applyBorder="1" applyAlignment="1" applyProtection="1">
      <alignment horizontal="center" vertical="center"/>
      <protection hidden="1"/>
    </xf>
    <xf numFmtId="0" fontId="31" fillId="26" borderId="40" xfId="0" applyFont="1" applyFill="1" applyBorder="1" applyAlignment="1" applyProtection="1">
      <alignment horizontal="center" vertical="center"/>
      <protection hidden="1"/>
    </xf>
    <xf numFmtId="0" fontId="31" fillId="26" borderId="42" xfId="0" applyFont="1" applyFill="1" applyBorder="1" applyAlignment="1" applyProtection="1">
      <alignment horizontal="center" vertical="center"/>
      <protection hidden="1"/>
    </xf>
    <xf numFmtId="0" fontId="31" fillId="26" borderId="1" xfId="0" applyFont="1" applyFill="1" applyBorder="1" applyAlignment="1" applyProtection="1">
      <alignment horizontal="center" vertical="center"/>
      <protection hidden="1"/>
    </xf>
    <xf numFmtId="0" fontId="31" fillId="26" borderId="43" xfId="0" applyFont="1" applyFill="1" applyBorder="1" applyAlignment="1" applyProtection="1">
      <alignment horizontal="center" vertical="center"/>
      <protection hidden="1"/>
    </xf>
    <xf numFmtId="171" fontId="31" fillId="26" borderId="7" xfId="0" applyNumberFormat="1" applyFont="1" applyFill="1" applyBorder="1" applyAlignment="1" applyProtection="1">
      <alignment horizontal="center" vertical="center"/>
      <protection hidden="1"/>
    </xf>
    <xf numFmtId="0" fontId="31" fillId="26" borderId="8" xfId="0" applyFont="1" applyFill="1" applyBorder="1" applyAlignment="1" applyProtection="1">
      <alignment horizontal="center" vertical="center"/>
      <protection hidden="1"/>
    </xf>
    <xf numFmtId="0" fontId="31" fillId="26" borderId="12" xfId="0" applyFont="1" applyFill="1" applyBorder="1" applyAlignment="1" applyProtection="1">
      <alignment horizontal="center" vertical="center"/>
      <protection hidden="1"/>
    </xf>
    <xf numFmtId="2" fontId="6" fillId="2" borderId="20" xfId="0" applyNumberFormat="1" applyFont="1" applyFill="1" applyBorder="1" applyAlignment="1" applyProtection="1">
      <alignment horizontal="center" vertical="center" wrapText="1"/>
      <protection hidden="1"/>
    </xf>
    <xf numFmtId="2" fontId="6" fillId="2" borderId="50" xfId="0" applyNumberFormat="1" applyFont="1" applyFill="1" applyBorder="1" applyAlignment="1" applyProtection="1">
      <alignment horizontal="center" vertical="center" wrapText="1"/>
      <protection hidden="1"/>
    </xf>
    <xf numFmtId="2" fontId="6" fillId="0" borderId="20" xfId="0" applyNumberFormat="1" applyFont="1" applyBorder="1" applyAlignment="1" applyProtection="1">
      <alignment horizontal="center" vertical="center" wrapText="1"/>
      <protection hidden="1"/>
    </xf>
    <xf numFmtId="2" fontId="6" fillId="2" borderId="43" xfId="0" applyNumberFormat="1" applyFont="1" applyFill="1" applyBorder="1" applyAlignment="1" applyProtection="1">
      <alignment horizontal="center" vertical="center"/>
      <protection hidden="1"/>
    </xf>
    <xf numFmtId="2" fontId="6" fillId="2" borderId="12" xfId="0" applyNumberFormat="1" applyFont="1" applyFill="1" applyBorder="1" applyAlignment="1" applyProtection="1">
      <alignment horizontal="center" vertical="center"/>
      <protection hidden="1"/>
    </xf>
    <xf numFmtId="190" fontId="6" fillId="2" borderId="0" xfId="0" applyNumberFormat="1" applyFont="1" applyFill="1" applyBorder="1" applyAlignment="1" applyProtection="1">
      <alignment horizontal="left" vertical="center" wrapText="1"/>
      <protection hidden="1"/>
    </xf>
    <xf numFmtId="0" fontId="52" fillId="2" borderId="0" xfId="0" applyFont="1" applyFill="1" applyAlignment="1" applyProtection="1">
      <alignment horizontal="justify" vertical="center" wrapText="1"/>
      <protection locked="0" hidden="1"/>
    </xf>
    <xf numFmtId="0" fontId="59" fillId="2" borderId="37" xfId="0" applyFont="1" applyFill="1" applyBorder="1" applyAlignment="1" applyProtection="1">
      <alignment horizontal="justify" vertical="center" wrapText="1"/>
      <protection hidden="1"/>
    </xf>
    <xf numFmtId="0" fontId="52" fillId="2" borderId="0" xfId="0" applyFont="1" applyFill="1" applyAlignment="1" applyProtection="1">
      <alignment horizontal="justify" vertical="center" wrapText="1"/>
      <protection hidden="1"/>
    </xf>
    <xf numFmtId="170" fontId="13" fillId="9" borderId="8" xfId="0" applyNumberFormat="1" applyFont="1" applyFill="1" applyBorder="1" applyAlignment="1" applyProtection="1">
      <alignment horizontal="center" vertical="center"/>
      <protection hidden="1"/>
    </xf>
    <xf numFmtId="14" fontId="6" fillId="2" borderId="0" xfId="0" applyNumberFormat="1" applyFont="1" applyFill="1" applyBorder="1" applyAlignment="1" applyProtection="1">
      <alignment vertical="center" wrapText="1"/>
      <protection hidden="1"/>
    </xf>
    <xf numFmtId="0" fontId="6" fillId="2" borderId="0" xfId="0" applyFont="1" applyFill="1" applyBorder="1" applyAlignment="1" applyProtection="1">
      <alignment vertical="justify" wrapText="1" readingOrder="1"/>
      <protection hidden="1"/>
    </xf>
    <xf numFmtId="14" fontId="6" fillId="2" borderId="0" xfId="0" applyNumberFormat="1" applyFont="1" applyFill="1" applyBorder="1" applyAlignment="1" applyProtection="1">
      <alignment horizontal="left" vertical="center" wrapText="1"/>
      <protection hidden="1"/>
    </xf>
    <xf numFmtId="0" fontId="5" fillId="2" borderId="0" xfId="0" applyFont="1" applyFill="1" applyBorder="1" applyAlignment="1" applyProtection="1">
      <alignment vertical="justify" wrapText="1" readingOrder="1"/>
      <protection hidden="1"/>
    </xf>
    <xf numFmtId="168" fontId="6" fillId="2" borderId="0" xfId="0" applyNumberFormat="1"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191" fontId="6" fillId="2" borderId="0" xfId="0" applyNumberFormat="1" applyFont="1" applyFill="1" applyBorder="1" applyAlignment="1" applyProtection="1">
      <alignment horizontal="left" vertical="center" wrapText="1"/>
      <protection hidden="1"/>
    </xf>
    <xf numFmtId="188" fontId="31" fillId="16" borderId="1" xfId="0" applyNumberFormat="1" applyFont="1" applyFill="1" applyBorder="1" applyAlignment="1" applyProtection="1">
      <alignment horizontal="center" vertical="center" wrapText="1"/>
      <protection locked="0" hidden="1"/>
    </xf>
    <xf numFmtId="164" fontId="31" fillId="26" borderId="5" xfId="0" applyNumberFormat="1" applyFont="1" applyFill="1" applyBorder="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32" fillId="20" borderId="4" xfId="0" applyFont="1" applyFill="1" applyBorder="1" applyAlignment="1" applyProtection="1">
      <alignment horizontal="center" vertical="center" wrapText="1"/>
      <protection hidden="1"/>
    </xf>
    <xf numFmtId="0" fontId="32" fillId="20" borderId="42" xfId="0" applyFont="1" applyFill="1" applyBorder="1" applyAlignment="1" applyProtection="1">
      <alignment horizontal="center" vertical="center" wrapText="1"/>
      <protection hidden="1"/>
    </xf>
    <xf numFmtId="0" fontId="32" fillId="20" borderId="7" xfId="0"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protection hidden="1"/>
    </xf>
    <xf numFmtId="169" fontId="32" fillId="20" borderId="5" xfId="0" applyNumberFormat="1" applyFont="1" applyFill="1" applyBorder="1" applyAlignment="1" applyProtection="1">
      <alignment horizontal="center" vertical="center"/>
      <protection hidden="1"/>
    </xf>
    <xf numFmtId="169" fontId="32" fillId="20" borderId="1" xfId="0" applyNumberFormat="1" applyFont="1" applyFill="1" applyBorder="1" applyAlignment="1" applyProtection="1">
      <alignment horizontal="center" vertical="center"/>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wrapText="1"/>
      <protection hidden="1"/>
    </xf>
    <xf numFmtId="0" fontId="32" fillId="20" borderId="1" xfId="0" applyFont="1" applyFill="1" applyBorder="1" applyAlignment="1" applyProtection="1">
      <alignment horizontal="center" vertical="center"/>
      <protection hidden="1"/>
    </xf>
    <xf numFmtId="168" fontId="32" fillId="20" borderId="1" xfId="0" applyNumberFormat="1" applyFont="1" applyFill="1" applyBorder="1" applyAlignment="1" applyProtection="1">
      <alignment horizontal="center" vertical="center"/>
      <protection hidden="1"/>
    </xf>
    <xf numFmtId="168" fontId="32" fillId="16" borderId="1" xfId="0" applyNumberFormat="1" applyFont="1" applyFill="1" applyBorder="1" applyAlignment="1" applyProtection="1">
      <alignment horizontal="center" vertical="center"/>
      <protection hidden="1"/>
    </xf>
    <xf numFmtId="182" fontId="32" fillId="16" borderId="1" xfId="0" applyNumberFormat="1" applyFont="1" applyFill="1" applyBorder="1" applyAlignment="1" applyProtection="1">
      <alignment horizontal="center" vertical="center"/>
      <protection hidden="1"/>
    </xf>
    <xf numFmtId="0" fontId="32" fillId="16" borderId="1" xfId="4" applyFont="1" applyFill="1" applyBorder="1" applyProtection="1">
      <alignment horizontal="center" vertical="center"/>
      <protection hidden="1"/>
    </xf>
    <xf numFmtId="0" fontId="32" fillId="16" borderId="1" xfId="0" applyFont="1" applyFill="1" applyBorder="1" applyProtection="1">
      <protection hidden="1"/>
    </xf>
    <xf numFmtId="168" fontId="32" fillId="20" borderId="5" xfId="0" applyNumberFormat="1" applyFont="1" applyFill="1" applyBorder="1" applyAlignment="1" applyProtection="1">
      <alignment horizontal="center" vertical="center"/>
      <protection hidden="1"/>
    </xf>
    <xf numFmtId="2" fontId="32" fillId="20" borderId="5" xfId="0" applyNumberFormat="1" applyFont="1" applyFill="1" applyBorder="1" applyAlignment="1" applyProtection="1">
      <alignment horizontal="center" vertical="center"/>
      <protection hidden="1"/>
    </xf>
    <xf numFmtId="168" fontId="32" fillId="16" borderId="8"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vertical="center"/>
      <protection hidden="1"/>
    </xf>
    <xf numFmtId="182" fontId="32" fillId="16" borderId="27" xfId="0" applyNumberFormat="1" applyFont="1" applyFill="1" applyBorder="1" applyAlignment="1" applyProtection="1">
      <alignment horizontal="center" vertical="center"/>
      <protection hidden="1"/>
    </xf>
    <xf numFmtId="0" fontId="32" fillId="16" borderId="27" xfId="0" applyFont="1" applyFill="1" applyBorder="1" applyAlignment="1" applyProtection="1">
      <alignment horizontal="center"/>
      <protection hidden="1"/>
    </xf>
    <xf numFmtId="169" fontId="32" fillId="16" borderId="27" xfId="0" applyNumberFormat="1" applyFont="1" applyFill="1" applyBorder="1" applyAlignment="1" applyProtection="1">
      <alignment horizontal="center" vertical="center"/>
      <protection hidden="1"/>
    </xf>
    <xf numFmtId="168" fontId="32" fillId="16" borderId="5" xfId="0" applyNumberFormat="1" applyFont="1" applyFill="1" applyBorder="1" applyAlignment="1" applyProtection="1">
      <alignment horizontal="center" vertical="center"/>
      <protection hidden="1"/>
    </xf>
    <xf numFmtId="182" fontId="32" fillId="16" borderId="5" xfId="0" applyNumberFormat="1" applyFont="1" applyFill="1" applyBorder="1" applyAlignment="1" applyProtection="1">
      <alignment horizontal="center" vertical="center"/>
      <protection hidden="1"/>
    </xf>
    <xf numFmtId="182" fontId="32" fillId="16" borderId="8" xfId="0" applyNumberFormat="1" applyFont="1" applyFill="1" applyBorder="1" applyAlignment="1" applyProtection="1">
      <alignment horizontal="center" vertical="center"/>
      <protection hidden="1"/>
    </xf>
    <xf numFmtId="0" fontId="32" fillId="16" borderId="8" xfId="4" applyFont="1" applyFill="1" applyBorder="1" applyProtection="1">
      <alignment horizontal="center" vertical="center"/>
      <protection hidden="1"/>
    </xf>
    <xf numFmtId="0" fontId="32" fillId="16" borderId="8" xfId="0" applyFont="1" applyFill="1" applyBorder="1" applyProtection="1">
      <protection hidden="1"/>
    </xf>
    <xf numFmtId="0" fontId="32" fillId="16" borderId="5" xfId="4" applyFont="1" applyFill="1" applyBorder="1" applyProtection="1">
      <alignment horizontal="center" vertical="center"/>
      <protection hidden="1"/>
    </xf>
    <xf numFmtId="0" fontId="32" fillId="16" borderId="5" xfId="0" applyFont="1" applyFill="1" applyBorder="1" applyProtection="1">
      <protection hidden="1"/>
    </xf>
    <xf numFmtId="168" fontId="32" fillId="24" borderId="5" xfId="0" applyNumberFormat="1" applyFont="1" applyFill="1" applyBorder="1" applyAlignment="1" applyProtection="1">
      <alignment horizontal="center" vertical="center"/>
      <protection hidden="1"/>
    </xf>
    <xf numFmtId="182" fontId="32" fillId="25" borderId="5" xfId="0" applyNumberFormat="1" applyFont="1" applyFill="1" applyBorder="1" applyAlignment="1" applyProtection="1">
      <alignment horizontal="center" vertical="center"/>
      <protection hidden="1"/>
    </xf>
    <xf numFmtId="0" fontId="32" fillId="24" borderId="5" xfId="4" applyFont="1" applyFill="1" applyBorder="1" applyProtection="1">
      <alignment horizontal="center" vertical="center"/>
      <protection hidden="1"/>
    </xf>
    <xf numFmtId="168" fontId="32" fillId="24" borderId="8" xfId="0" applyNumberFormat="1" applyFont="1" applyFill="1" applyBorder="1" applyAlignment="1" applyProtection="1">
      <alignment horizontal="center" vertical="center"/>
      <protection hidden="1"/>
    </xf>
    <xf numFmtId="182" fontId="32" fillId="25" borderId="8" xfId="0" applyNumberFormat="1" applyFont="1" applyFill="1" applyBorder="1" applyAlignment="1" applyProtection="1">
      <alignment horizontal="center" vertical="center"/>
      <protection hidden="1"/>
    </xf>
    <xf numFmtId="0" fontId="32" fillId="24" borderId="8" xfId="4" applyFont="1" applyFill="1" applyBorder="1" applyProtection="1">
      <alignment horizontal="center" vertical="center"/>
      <protection hidden="1"/>
    </xf>
    <xf numFmtId="0" fontId="32" fillId="16" borderId="54" xfId="0" applyFont="1" applyFill="1" applyBorder="1" applyAlignment="1" applyProtection="1">
      <alignment horizontal="center" vertical="center"/>
      <protection hidden="1"/>
    </xf>
    <xf numFmtId="0" fontId="32" fillId="16" borderId="53" xfId="0" applyFont="1" applyFill="1" applyBorder="1" applyAlignment="1" applyProtection="1">
      <alignment horizontal="center" vertical="center"/>
      <protection hidden="1"/>
    </xf>
    <xf numFmtId="171" fontId="31" fillId="20" borderId="40" xfId="0" applyNumberFormat="1" applyFont="1" applyFill="1" applyBorder="1" applyAlignment="1" applyProtection="1">
      <alignment horizontal="center" vertical="center"/>
      <protection hidden="1"/>
    </xf>
    <xf numFmtId="171" fontId="31" fillId="20" borderId="43" xfId="0" applyNumberFormat="1" applyFont="1" applyFill="1" applyBorder="1" applyAlignment="1" applyProtection="1">
      <alignment horizontal="center" vertical="center"/>
      <protection hidden="1"/>
    </xf>
    <xf numFmtId="2" fontId="31" fillId="20" borderId="5" xfId="0" applyNumberFormat="1" applyFont="1" applyFill="1" applyBorder="1" applyAlignment="1" applyProtection="1">
      <alignment horizontal="center" vertical="center"/>
      <protection hidden="1"/>
    </xf>
    <xf numFmtId="2" fontId="31" fillId="20" borderId="1" xfId="0" applyNumberFormat="1" applyFont="1" applyFill="1" applyBorder="1" applyAlignment="1" applyProtection="1">
      <alignment horizontal="center" vertical="center"/>
      <protection hidden="1"/>
    </xf>
    <xf numFmtId="2" fontId="31" fillId="20" borderId="8" xfId="0" applyNumberFormat="1" applyFont="1" applyFill="1" applyBorder="1" applyAlignment="1" applyProtection="1">
      <alignment horizontal="center" vertical="center"/>
      <protection hidden="1"/>
    </xf>
    <xf numFmtId="3" fontId="31" fillId="20" borderId="4" xfId="0" applyNumberFormat="1" applyFont="1" applyFill="1" applyBorder="1" applyAlignment="1" applyProtection="1">
      <alignment horizontal="center" vertical="center" wrapText="1"/>
      <protection hidden="1"/>
    </xf>
    <xf numFmtId="0" fontId="32" fillId="20" borderId="5" xfId="0" applyFont="1" applyFill="1" applyBorder="1" applyAlignment="1" applyProtection="1">
      <alignment horizontal="center" vertical="center" wrapText="1"/>
      <protection hidden="1"/>
    </xf>
    <xf numFmtId="0" fontId="0" fillId="20" borderId="5" xfId="0" applyFill="1" applyBorder="1" applyAlignment="1" applyProtection="1">
      <alignment horizontal="center" vertical="center" wrapText="1"/>
      <protection hidden="1"/>
    </xf>
    <xf numFmtId="0" fontId="0" fillId="20" borderId="8" xfId="0" applyFill="1" applyBorder="1" applyAlignment="1" applyProtection="1">
      <alignment vertical="center" wrapText="1"/>
      <protection hidden="1"/>
    </xf>
    <xf numFmtId="4" fontId="31" fillId="20" borderId="5" xfId="0" applyNumberFormat="1" applyFont="1" applyFill="1" applyBorder="1" applyAlignment="1" applyProtection="1">
      <alignment horizontal="center" vertical="center" wrapText="1"/>
      <protection hidden="1"/>
    </xf>
    <xf numFmtId="179" fontId="31" fillId="20" borderId="40" xfId="0" applyNumberFormat="1" applyFont="1" applyFill="1" applyBorder="1" applyAlignment="1" applyProtection="1">
      <alignment horizontal="center" vertical="center" wrapText="1"/>
      <protection hidden="1"/>
    </xf>
    <xf numFmtId="4" fontId="31" fillId="20" borderId="1" xfId="0" applyNumberFormat="1" applyFont="1" applyFill="1" applyBorder="1" applyAlignment="1" applyProtection="1">
      <alignment horizontal="center" vertical="center" wrapText="1"/>
      <protection hidden="1"/>
    </xf>
    <xf numFmtId="4" fontId="31" fillId="20" borderId="8" xfId="0" applyNumberFormat="1" applyFont="1" applyFill="1" applyBorder="1" applyAlignment="1" applyProtection="1">
      <alignment horizontal="center" vertical="center" wrapText="1"/>
      <protection hidden="1"/>
    </xf>
    <xf numFmtId="1" fontId="9" fillId="14" borderId="16" xfId="3" applyNumberFormat="1" applyFont="1" applyBorder="1" applyAlignment="1" applyProtection="1">
      <alignment horizontal="center" vertical="center" wrapText="1"/>
      <protection locked="0" hidden="1"/>
    </xf>
    <xf numFmtId="192" fontId="7" fillId="9" borderId="1" xfId="0" applyNumberFormat="1" applyFont="1" applyFill="1" applyBorder="1" applyAlignment="1" applyProtection="1">
      <alignment horizontal="center" vertical="center"/>
      <protection hidden="1"/>
    </xf>
    <xf numFmtId="165" fontId="7" fillId="9" borderId="20" xfId="0" applyNumberFormat="1" applyFont="1" applyFill="1" applyBorder="1" applyAlignment="1" applyProtection="1">
      <alignment horizontal="center" vertical="center"/>
      <protection hidden="1"/>
    </xf>
    <xf numFmtId="193" fontId="7" fillId="7" borderId="4" xfId="0" applyNumberFormat="1" applyFont="1" applyFill="1" applyBorder="1" applyAlignment="1" applyProtection="1">
      <alignment horizontal="center" vertical="center"/>
      <protection locked="0" hidden="1"/>
    </xf>
    <xf numFmtId="193" fontId="7" fillId="7" borderId="1" xfId="0" applyNumberFormat="1" applyFont="1" applyFill="1" applyBorder="1" applyAlignment="1" applyProtection="1">
      <alignment horizontal="center" vertical="center"/>
      <protection locked="0" hidden="1"/>
    </xf>
    <xf numFmtId="193" fontId="7" fillId="7" borderId="5" xfId="0" applyNumberFormat="1" applyFont="1" applyFill="1" applyBorder="1" applyAlignment="1" applyProtection="1">
      <alignment horizontal="center" vertical="center"/>
      <protection locked="0" hidden="1"/>
    </xf>
    <xf numFmtId="193" fontId="7" fillId="7" borderId="40" xfId="0" applyNumberFormat="1" applyFont="1" applyFill="1" applyBorder="1" applyAlignment="1" applyProtection="1">
      <alignment horizontal="center" vertical="center"/>
      <protection locked="0" hidden="1"/>
    </xf>
    <xf numFmtId="193" fontId="7" fillId="7" borderId="42" xfId="0" applyNumberFormat="1" applyFont="1" applyFill="1" applyBorder="1" applyAlignment="1" applyProtection="1">
      <alignment horizontal="center" vertical="center"/>
      <protection locked="0" hidden="1"/>
    </xf>
    <xf numFmtId="193" fontId="7" fillId="7" borderId="43" xfId="0" applyNumberFormat="1" applyFont="1" applyFill="1" applyBorder="1" applyAlignment="1" applyProtection="1">
      <alignment horizontal="center" vertical="center"/>
      <protection locked="0" hidden="1"/>
    </xf>
    <xf numFmtId="193" fontId="7" fillId="7" borderId="7" xfId="0" applyNumberFormat="1" applyFont="1" applyFill="1" applyBorder="1" applyAlignment="1" applyProtection="1">
      <alignment horizontal="center" vertical="center"/>
      <protection locked="0" hidden="1"/>
    </xf>
    <xf numFmtId="193" fontId="7" fillId="7" borderId="8" xfId="0" applyNumberFormat="1" applyFont="1" applyFill="1" applyBorder="1" applyAlignment="1" applyProtection="1">
      <alignment horizontal="center" vertical="center"/>
      <protection locked="0" hidden="1"/>
    </xf>
    <xf numFmtId="2" fontId="7" fillId="6" borderId="71" xfId="0" applyNumberFormat="1" applyFont="1" applyFill="1" applyBorder="1" applyAlignment="1" applyProtection="1">
      <alignment horizontal="center" vertical="center"/>
      <protection hidden="1"/>
    </xf>
    <xf numFmtId="1" fontId="7" fillId="6" borderId="72" xfId="0" applyNumberFormat="1" applyFont="1" applyFill="1" applyBorder="1" applyAlignment="1" applyProtection="1">
      <alignment horizontal="center" vertical="center" wrapText="1"/>
      <protection hidden="1"/>
    </xf>
    <xf numFmtId="1" fontId="7" fillId="6" borderId="73" xfId="0" applyNumberFormat="1" applyFont="1" applyFill="1" applyBorder="1" applyAlignment="1" applyProtection="1">
      <alignment horizontal="center" vertical="center" wrapText="1"/>
      <protection hidden="1"/>
    </xf>
    <xf numFmtId="195" fontId="7" fillId="7" borderId="12" xfId="0" applyNumberFormat="1" applyFont="1" applyFill="1" applyBorder="1" applyAlignment="1" applyProtection="1">
      <alignment horizontal="center" vertical="center"/>
      <protection locked="0" hidden="1"/>
    </xf>
    <xf numFmtId="193" fontId="7" fillId="7" borderId="46" xfId="0" applyNumberFormat="1" applyFont="1" applyFill="1" applyBorder="1" applyAlignment="1" applyProtection="1">
      <alignment horizontal="center" vertical="center"/>
      <protection locked="0" hidden="1"/>
    </xf>
    <xf numFmtId="193" fontId="7" fillId="7" borderId="33" xfId="0" applyNumberFormat="1" applyFont="1" applyFill="1" applyBorder="1" applyAlignment="1" applyProtection="1">
      <alignment horizontal="center" vertical="center"/>
      <protection locked="0" hidden="1"/>
    </xf>
    <xf numFmtId="171" fontId="7" fillId="9" borderId="43"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2" xfId="0" applyNumberFormat="1" applyFont="1" applyFill="1" applyBorder="1" applyAlignment="1" applyProtection="1">
      <alignment horizontal="center" vertical="center"/>
      <protection hidden="1"/>
    </xf>
    <xf numFmtId="171" fontId="7" fillId="6" borderId="73"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5"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164" fontId="7" fillId="9" borderId="6" xfId="0" applyNumberFormat="1" applyFont="1" applyFill="1" applyBorder="1" applyAlignment="1" applyProtection="1">
      <alignment horizontal="center" vertical="center"/>
      <protection hidden="1"/>
    </xf>
    <xf numFmtId="194" fontId="7" fillId="7" borderId="42" xfId="0" applyNumberFormat="1" applyFont="1" applyFill="1" applyBorder="1" applyAlignment="1" applyProtection="1">
      <alignment horizontal="center" vertical="center"/>
      <protection locked="0" hidden="1"/>
    </xf>
    <xf numFmtId="2" fontId="7" fillId="6" borderId="59"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center" vertical="center" wrapText="1"/>
      <protection hidden="1"/>
    </xf>
    <xf numFmtId="2" fontId="7" fillId="6" borderId="52" xfId="0" applyNumberFormat="1" applyFont="1" applyFill="1" applyBorder="1" applyAlignment="1" applyProtection="1">
      <alignment horizontal="left" vertical="center"/>
      <protection hidden="1"/>
    </xf>
    <xf numFmtId="2" fontId="7" fillId="6" borderId="60" xfId="0" applyNumberFormat="1" applyFont="1" applyFill="1" applyBorder="1" applyAlignment="1" applyProtection="1">
      <alignment horizontal="left" vertical="center"/>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164" fontId="6" fillId="0" borderId="58" xfId="0" applyNumberFormat="1" applyFont="1" applyBorder="1" applyAlignment="1" applyProtection="1">
      <alignment horizontal="center" vertical="center" wrapText="1"/>
      <protection hidden="1"/>
    </xf>
    <xf numFmtId="164" fontId="6" fillId="0" borderId="17" xfId="0" applyNumberFormat="1" applyFont="1" applyBorder="1" applyAlignment="1" applyProtection="1">
      <alignment horizontal="center" vertical="center" wrapText="1"/>
      <protection hidden="1"/>
    </xf>
    <xf numFmtId="2" fontId="6" fillId="0" borderId="17" xfId="0" applyNumberFormat="1" applyFont="1" applyBorder="1" applyAlignment="1" applyProtection="1">
      <alignment horizontal="center" vertical="center" wrapText="1"/>
      <protection hidden="1"/>
    </xf>
    <xf numFmtId="2" fontId="6" fillId="2" borderId="17" xfId="0" applyNumberFormat="1" applyFont="1" applyFill="1" applyBorder="1" applyAlignment="1" applyProtection="1">
      <alignment horizontal="center" vertical="center" wrapText="1"/>
      <protection hidden="1"/>
    </xf>
    <xf numFmtId="2" fontId="6" fillId="2" borderId="56" xfId="0" applyNumberFormat="1" applyFont="1" applyFill="1" applyBorder="1" applyAlignment="1" applyProtection="1">
      <alignment horizontal="center" vertical="center" wrapText="1"/>
      <protection hidden="1"/>
    </xf>
    <xf numFmtId="0" fontId="54" fillId="20" borderId="51" xfId="0" applyFont="1" applyFill="1" applyBorder="1" applyAlignment="1" applyProtection="1">
      <alignment horizontal="center" vertical="center" wrapText="1"/>
      <protection hidden="1"/>
    </xf>
    <xf numFmtId="0" fontId="54" fillId="20" borderId="36" xfId="0" applyFont="1" applyFill="1" applyBorder="1" applyAlignment="1" applyProtection="1">
      <alignment horizontal="center" vertical="center" wrapText="1"/>
      <protection hidden="1"/>
    </xf>
    <xf numFmtId="169" fontId="54" fillId="20" borderId="9" xfId="0" applyNumberFormat="1" applyFont="1" applyFill="1" applyBorder="1" applyAlignment="1" applyProtection="1">
      <alignment horizontal="center" vertical="center" wrapText="1"/>
      <protection hidden="1"/>
    </xf>
    <xf numFmtId="2" fontId="54" fillId="20" borderId="10" xfId="0" applyNumberFormat="1" applyFont="1" applyFill="1" applyBorder="1" applyAlignment="1" applyProtection="1">
      <alignment horizontal="center" vertical="center" wrapText="1"/>
      <protection hidden="1"/>
    </xf>
    <xf numFmtId="2" fontId="54" fillId="20" borderId="11" xfId="0" applyNumberFormat="1" applyFont="1" applyFill="1" applyBorder="1" applyAlignment="1" applyProtection="1">
      <alignment horizontal="center" vertical="center" wrapText="1"/>
      <protection hidden="1"/>
    </xf>
    <xf numFmtId="0" fontId="6" fillId="20" borderId="71" xfId="0" applyFont="1" applyFill="1" applyBorder="1" applyAlignment="1" applyProtection="1">
      <alignment horizontal="center" vertical="center"/>
      <protection hidden="1"/>
    </xf>
    <xf numFmtId="0" fontId="6" fillId="20" borderId="72" xfId="0" applyFont="1" applyFill="1" applyBorder="1" applyAlignment="1" applyProtection="1">
      <alignment horizontal="center" vertical="center"/>
      <protection hidden="1"/>
    </xf>
    <xf numFmtId="0" fontId="6" fillId="20" borderId="73" xfId="0" applyFont="1" applyFill="1" applyBorder="1" applyAlignment="1" applyProtection="1">
      <alignment horizontal="center" vertical="center"/>
      <protection hidden="1"/>
    </xf>
    <xf numFmtId="0" fontId="60" fillId="0" borderId="0" xfId="0" applyFont="1" applyFill="1" applyAlignment="1">
      <alignment vertical="center" wrapText="1"/>
    </xf>
    <xf numFmtId="3" fontId="32" fillId="20" borderId="4" xfId="0" applyNumberFormat="1" applyFont="1" applyFill="1" applyBorder="1" applyAlignment="1" applyProtection="1">
      <alignment horizontal="center" vertical="center"/>
      <protection hidden="1"/>
    </xf>
    <xf numFmtId="3" fontId="32" fillId="20" borderId="5" xfId="0" applyNumberFormat="1" applyFont="1" applyFill="1" applyBorder="1" applyAlignment="1" applyProtection="1">
      <alignment horizontal="center" vertical="center" wrapText="1"/>
      <protection hidden="1"/>
    </xf>
    <xf numFmtId="169" fontId="32" fillId="20" borderId="40" xfId="0" applyNumberFormat="1" applyFont="1" applyFill="1" applyBorder="1" applyAlignment="1" applyProtection="1">
      <alignment horizontal="center" vertical="center"/>
      <protection hidden="1"/>
    </xf>
    <xf numFmtId="3" fontId="32" fillId="20" borderId="42" xfId="0" applyNumberFormat="1" applyFont="1" applyFill="1" applyBorder="1" applyAlignment="1" applyProtection="1">
      <alignment horizontal="center" vertical="center"/>
      <protection hidden="1"/>
    </xf>
    <xf numFmtId="3" fontId="32" fillId="20" borderId="1" xfId="0" applyNumberFormat="1" applyFont="1" applyFill="1" applyBorder="1" applyAlignment="1" applyProtection="1">
      <alignment horizontal="center" vertical="center" wrapText="1"/>
      <protection hidden="1"/>
    </xf>
    <xf numFmtId="171" fontId="32" fillId="20" borderId="1" xfId="0" applyNumberFormat="1" applyFont="1" applyFill="1" applyBorder="1" applyAlignment="1" applyProtection="1">
      <alignment horizontal="center" vertical="center"/>
      <protection hidden="1"/>
    </xf>
    <xf numFmtId="2" fontId="32" fillId="20" borderId="1" xfId="0" applyNumberFormat="1" applyFont="1" applyFill="1" applyBorder="1" applyAlignment="1" applyProtection="1">
      <alignment horizontal="center" vertical="center"/>
      <protection hidden="1"/>
    </xf>
    <xf numFmtId="169" fontId="32" fillId="20" borderId="43" xfId="0" applyNumberFormat="1" applyFont="1" applyFill="1" applyBorder="1" applyAlignment="1" applyProtection="1">
      <alignment horizontal="center" vertical="center"/>
      <protection hidden="1"/>
    </xf>
    <xf numFmtId="49" fontId="32" fillId="20" borderId="1" xfId="0" applyNumberFormat="1" applyFont="1" applyFill="1" applyBorder="1" applyAlignment="1" applyProtection="1">
      <alignment horizontal="center" vertical="center" wrapText="1"/>
      <protection hidden="1"/>
    </xf>
    <xf numFmtId="3" fontId="32" fillId="20" borderId="7"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protection hidden="1"/>
    </xf>
    <xf numFmtId="3" fontId="32" fillId="20" borderId="8" xfId="0" applyNumberFormat="1" applyFont="1" applyFill="1" applyBorder="1" applyAlignment="1" applyProtection="1">
      <alignment horizontal="center" vertical="center"/>
      <protection hidden="1"/>
    </xf>
    <xf numFmtId="0" fontId="32" fillId="20" borderId="8" xfId="0" applyFont="1" applyFill="1" applyBorder="1" applyAlignment="1" applyProtection="1">
      <alignment horizontal="center" vertical="center" wrapText="1"/>
      <protection hidden="1"/>
    </xf>
    <xf numFmtId="169" fontId="32" fillId="20" borderId="8" xfId="0" applyNumberFormat="1" applyFont="1" applyFill="1" applyBorder="1" applyAlignment="1" applyProtection="1">
      <alignment horizontal="center" vertical="center"/>
      <protection hidden="1"/>
    </xf>
    <xf numFmtId="169" fontId="32" fillId="20" borderId="12" xfId="0" applyNumberFormat="1" applyFont="1" applyFill="1" applyBorder="1" applyAlignment="1" applyProtection="1">
      <alignment horizontal="center" vertical="center"/>
      <protection hidden="1"/>
    </xf>
    <xf numFmtId="2" fontId="52" fillId="14" borderId="0" xfId="3" applyFont="1" applyBorder="1" applyAlignment="1">
      <alignment horizontal="center" vertical="center" wrapText="1"/>
      <protection locked="0"/>
    </xf>
    <xf numFmtId="0" fontId="52" fillId="2" borderId="0" xfId="0" applyFont="1" applyFill="1" applyAlignment="1" applyProtection="1">
      <alignment horizontal="justify" vertical="center" wrapText="1"/>
      <protection locked="0" hidden="1"/>
    </xf>
    <xf numFmtId="188" fontId="7" fillId="2" borderId="0" xfId="0" applyNumberFormat="1" applyFont="1" applyFill="1" applyBorder="1" applyAlignment="1" applyProtection="1">
      <alignment horizontal="center"/>
      <protection hidden="1"/>
    </xf>
    <xf numFmtId="188" fontId="7" fillId="20" borderId="1" xfId="0" applyNumberFormat="1" applyFont="1" applyFill="1" applyBorder="1" applyAlignment="1" applyProtection="1">
      <alignment horizontal="center" vertical="center"/>
      <protection hidden="1"/>
    </xf>
    <xf numFmtId="188" fontId="7" fillId="20" borderId="1" xfId="0" applyNumberFormat="1" applyFont="1" applyFill="1" applyBorder="1" applyAlignment="1" applyProtection="1">
      <alignment horizontal="center"/>
      <protection hidden="1"/>
    </xf>
    <xf numFmtId="169" fontId="62" fillId="2" borderId="44" xfId="0" applyNumberFormat="1" applyFont="1" applyFill="1" applyBorder="1" applyAlignment="1" applyProtection="1">
      <alignment horizontal="center" vertical="center" wrapText="1"/>
      <protection hidden="1"/>
    </xf>
    <xf numFmtId="2" fontId="62" fillId="2" borderId="20" xfId="0" applyNumberFormat="1" applyFont="1" applyFill="1" applyBorder="1" applyAlignment="1" applyProtection="1">
      <alignment horizontal="center" vertical="center" wrapText="1"/>
      <protection hidden="1"/>
    </xf>
    <xf numFmtId="1" fontId="62" fillId="2" borderId="45" xfId="0" applyNumberFormat="1" applyFont="1" applyFill="1" applyBorder="1" applyAlignment="1" applyProtection="1">
      <alignment horizontal="center" vertical="center" wrapText="1"/>
      <protection hidden="1"/>
    </xf>
    <xf numFmtId="169" fontId="62" fillId="2" borderId="7" xfId="0" applyNumberFormat="1" applyFont="1" applyFill="1" applyBorder="1" applyAlignment="1" applyProtection="1">
      <alignment horizontal="center" vertical="center" wrapText="1"/>
      <protection hidden="1"/>
    </xf>
    <xf numFmtId="196" fontId="62" fillId="2" borderId="8" xfId="0" applyNumberFormat="1" applyFont="1" applyFill="1" applyBorder="1" applyAlignment="1" applyProtection="1">
      <alignment horizontal="center" vertical="center" wrapText="1"/>
      <protection hidden="1"/>
    </xf>
    <xf numFmtId="1" fontId="62" fillId="2" borderId="12" xfId="0" applyNumberFormat="1" applyFont="1" applyFill="1" applyBorder="1" applyAlignment="1" applyProtection="1">
      <alignment horizontal="center" vertical="center" wrapText="1"/>
      <protection hidden="1"/>
    </xf>
    <xf numFmtId="0" fontId="52" fillId="0" borderId="0" xfId="0" applyFont="1" applyAlignment="1" applyProtection="1">
      <alignment horizontal="justify" vertical="center" wrapText="1"/>
      <protection hidden="1"/>
    </xf>
    <xf numFmtId="0" fontId="32" fillId="0" borderId="40" xfId="0" applyFont="1" applyBorder="1" applyAlignment="1" applyProtection="1">
      <alignment horizontal="center" vertical="center" wrapText="1"/>
      <protection hidden="1"/>
    </xf>
    <xf numFmtId="0" fontId="32" fillId="0" borderId="43" xfId="0" applyFont="1" applyBorder="1" applyAlignment="1" applyProtection="1">
      <alignment horizontal="center" vertical="center" wrapText="1"/>
      <protection hidden="1"/>
    </xf>
    <xf numFmtId="0" fontId="32" fillId="0" borderId="12" xfId="0" applyFont="1" applyBorder="1" applyAlignment="1" applyProtection="1">
      <alignment horizontal="center" vertical="center" wrapText="1"/>
      <protection hidden="1"/>
    </xf>
    <xf numFmtId="0" fontId="30" fillId="13" borderId="14" xfId="0" applyFont="1" applyFill="1" applyBorder="1" applyAlignment="1" applyProtection="1">
      <alignment horizontal="center" vertical="center"/>
      <protection hidden="1"/>
    </xf>
    <xf numFmtId="0" fontId="30" fillId="13" borderId="15" xfId="0" applyFont="1" applyFill="1" applyBorder="1" applyAlignment="1" applyProtection="1">
      <alignment horizontal="center" vertical="center"/>
      <protection hidden="1"/>
    </xf>
    <xf numFmtId="0" fontId="30" fillId="13" borderId="16" xfId="0" applyFont="1" applyFill="1" applyBorder="1" applyAlignment="1" applyProtection="1">
      <alignment horizontal="center" vertical="center"/>
      <protection hidden="1"/>
    </xf>
    <xf numFmtId="0" fontId="29" fillId="6" borderId="14" xfId="0" applyFont="1" applyFill="1" applyBorder="1" applyAlignment="1" applyProtection="1">
      <alignment horizontal="center" vertical="center"/>
      <protection hidden="1"/>
    </xf>
    <xf numFmtId="0" fontId="29" fillId="6" borderId="15" xfId="0" applyFont="1" applyFill="1" applyBorder="1" applyAlignment="1" applyProtection="1">
      <alignment horizontal="center" vertical="center"/>
      <protection hidden="1"/>
    </xf>
    <xf numFmtId="0" fontId="29" fillId="6" borderId="16" xfId="0" applyFont="1" applyFill="1" applyBorder="1" applyAlignment="1" applyProtection="1">
      <alignment horizontal="center" vertical="center"/>
      <protection hidden="1"/>
    </xf>
    <xf numFmtId="0" fontId="6" fillId="6" borderId="40"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31" fillId="18" borderId="46"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3" fontId="31" fillId="20" borderId="46" xfId="0" applyNumberFormat="1" applyFont="1" applyFill="1" applyBorder="1" applyAlignment="1" applyProtection="1">
      <alignment horizontal="center" vertical="center" wrapText="1"/>
      <protection hidden="1"/>
    </xf>
    <xf numFmtId="0" fontId="0" fillId="20" borderId="49" xfId="0" applyFill="1" applyBorder="1" applyAlignment="1" applyProtection="1">
      <alignment horizontal="center" vertical="center" wrapText="1"/>
      <protection hidden="1"/>
    </xf>
    <xf numFmtId="3" fontId="31" fillId="22" borderId="55" xfId="0" applyNumberFormat="1" applyFont="1" applyFill="1" applyBorder="1" applyAlignment="1" applyProtection="1">
      <alignment horizontal="center" vertical="center" wrapText="1"/>
      <protection hidden="1"/>
    </xf>
    <xf numFmtId="0" fontId="0" fillId="22" borderId="31" xfId="0" applyFill="1" applyBorder="1" applyAlignment="1" applyProtection="1">
      <alignment horizontal="center" vertical="center" wrapText="1"/>
      <protection hidden="1"/>
    </xf>
    <xf numFmtId="0" fontId="0" fillId="22" borderId="56" xfId="0" applyFill="1" applyBorder="1" applyAlignment="1" applyProtection="1">
      <alignment horizontal="center" vertical="center" wrapText="1"/>
      <protection hidden="1"/>
    </xf>
    <xf numFmtId="3" fontId="31" fillId="20" borderId="3" xfId="0" applyNumberFormat="1" applyFont="1" applyFill="1" applyBorder="1" applyAlignment="1" applyProtection="1">
      <alignment horizontal="center" vertical="center" wrapText="1"/>
      <protection hidden="1"/>
    </xf>
    <xf numFmtId="0" fontId="0" fillId="20" borderId="3" xfId="0" applyFill="1" applyBorder="1" applyAlignment="1" applyProtection="1">
      <alignment horizontal="center" vertical="center" wrapText="1"/>
      <protection hidden="1"/>
    </xf>
    <xf numFmtId="0" fontId="0" fillId="20" borderId="13" xfId="0" applyFill="1" applyBorder="1" applyAlignment="1" applyProtection="1">
      <alignment horizontal="center" vertical="center" wrapText="1"/>
      <protection hidden="1"/>
    </xf>
    <xf numFmtId="168" fontId="31" fillId="20" borderId="1" xfId="0" applyNumberFormat="1" applyFont="1" applyFill="1" applyBorder="1" applyAlignment="1" applyProtection="1">
      <alignment horizontal="center" vertical="center" wrapText="1"/>
      <protection hidden="1"/>
    </xf>
    <xf numFmtId="0" fontId="0" fillId="20" borderId="1" xfId="0" applyFill="1" applyBorder="1" applyAlignment="1" applyProtection="1">
      <alignment horizontal="center" vertical="center" wrapText="1"/>
      <protection hidden="1"/>
    </xf>
    <xf numFmtId="0" fontId="0" fillId="20" borderId="8" xfId="0" applyFill="1" applyBorder="1" applyAlignment="1" applyProtection="1">
      <alignment horizontal="center" vertical="center" wrapText="1"/>
      <protection hidden="1"/>
    </xf>
    <xf numFmtId="14" fontId="31" fillId="20" borderId="43" xfId="0" applyNumberFormat="1" applyFont="1" applyFill="1" applyBorder="1" applyAlignment="1" applyProtection="1">
      <alignment horizontal="center" vertical="center" wrapText="1"/>
      <protection hidden="1"/>
    </xf>
    <xf numFmtId="0" fontId="0" fillId="20" borderId="43" xfId="0" applyFill="1" applyBorder="1" applyAlignment="1" applyProtection="1">
      <alignment horizontal="center" vertical="center" wrapText="1"/>
      <protection hidden="1"/>
    </xf>
    <xf numFmtId="0" fontId="0" fillId="20" borderId="12" xfId="0" applyFill="1" applyBorder="1" applyAlignment="1" applyProtection="1">
      <alignment horizontal="center" vertical="center" wrapText="1"/>
      <protection hidden="1"/>
    </xf>
    <xf numFmtId="49" fontId="31" fillId="22" borderId="55" xfId="0" applyNumberFormat="1" applyFont="1" applyFill="1" applyBorder="1" applyAlignment="1" applyProtection="1">
      <alignment horizontal="center" vertical="center" wrapText="1"/>
      <protection hidden="1"/>
    </xf>
    <xf numFmtId="0" fontId="28" fillId="13" borderId="22" xfId="0" applyFont="1" applyFill="1" applyBorder="1" applyAlignment="1" applyProtection="1">
      <alignment horizontal="center" vertical="center"/>
      <protection hidden="1"/>
    </xf>
    <xf numFmtId="0" fontId="28" fillId="13" borderId="32" xfId="0" applyFont="1" applyFill="1" applyBorder="1" applyAlignment="1" applyProtection="1">
      <alignment horizontal="center" vertical="center"/>
      <protection hidden="1"/>
    </xf>
    <xf numFmtId="0" fontId="28" fillId="13" borderId="23" xfId="0" applyFont="1" applyFill="1" applyBorder="1" applyAlignment="1" applyProtection="1">
      <alignment horizontal="center" vertical="center"/>
      <protection hidden="1"/>
    </xf>
    <xf numFmtId="0" fontId="28" fillId="13" borderId="21" xfId="0" applyFont="1" applyFill="1" applyBorder="1" applyAlignment="1" applyProtection="1">
      <alignment horizontal="center" vertical="center"/>
      <protection hidden="1"/>
    </xf>
    <xf numFmtId="0" fontId="28" fillId="13" borderId="41" xfId="0" applyFont="1" applyFill="1" applyBorder="1" applyAlignment="1" applyProtection="1">
      <alignment horizontal="center" vertical="center"/>
      <protection hidden="1"/>
    </xf>
    <xf numFmtId="0" fontId="28" fillId="13" borderId="6" xfId="0" applyFont="1" applyFill="1" applyBorder="1" applyAlignment="1" applyProtection="1">
      <alignment horizontal="center" vertical="center"/>
      <protection hidden="1"/>
    </xf>
    <xf numFmtId="0" fontId="28" fillId="13" borderId="14" xfId="0" applyFont="1" applyFill="1" applyBorder="1" applyAlignment="1" applyProtection="1">
      <alignment horizontal="center" vertical="center"/>
      <protection hidden="1"/>
    </xf>
    <xf numFmtId="0" fontId="28" fillId="13" borderId="15" xfId="0" applyFont="1" applyFill="1" applyBorder="1" applyAlignment="1" applyProtection="1">
      <alignment horizontal="center" vertical="center"/>
      <protection hidden="1"/>
    </xf>
    <xf numFmtId="0" fontId="28" fillId="13" borderId="16" xfId="0" applyFont="1" applyFill="1" applyBorder="1" applyAlignment="1" applyProtection="1">
      <alignment horizontal="center" vertical="center"/>
      <protection hidden="1"/>
    </xf>
    <xf numFmtId="0" fontId="17" fillId="6" borderId="44" xfId="0" applyFont="1" applyFill="1" applyBorder="1" applyAlignment="1" applyProtection="1">
      <alignment horizontal="center" vertical="center" wrapText="1"/>
      <protection hidden="1"/>
    </xf>
    <xf numFmtId="0" fontId="17" fillId="6" borderId="46" xfId="0" applyFont="1" applyFill="1" applyBorder="1" applyAlignment="1" applyProtection="1">
      <alignment horizontal="center" vertical="center" wrapText="1"/>
      <protection hidden="1"/>
    </xf>
    <xf numFmtId="0" fontId="17" fillId="6" borderId="20" xfId="0" applyFont="1" applyFill="1" applyBorder="1" applyAlignment="1" applyProtection="1">
      <alignment horizontal="center" vertical="center" wrapText="1"/>
      <protection hidden="1"/>
    </xf>
    <xf numFmtId="0" fontId="17" fillId="6" borderId="33" xfId="0" applyFont="1" applyFill="1" applyBorder="1" applyAlignment="1" applyProtection="1">
      <alignment horizontal="center" vertical="center" wrapText="1"/>
      <protection hidden="1"/>
    </xf>
    <xf numFmtId="168" fontId="32" fillId="0" borderId="20" xfId="0" applyNumberFormat="1" applyFont="1" applyBorder="1" applyAlignment="1" applyProtection="1">
      <alignment horizontal="center" vertical="center" wrapText="1"/>
      <protection hidden="1"/>
    </xf>
    <xf numFmtId="168" fontId="32" fillId="0" borderId="1" xfId="0" applyNumberFormat="1" applyFont="1" applyBorder="1" applyAlignment="1" applyProtection="1">
      <alignment horizontal="center" vertical="center" wrapText="1"/>
      <protection hidden="1"/>
    </xf>
    <xf numFmtId="168" fontId="32" fillId="0" borderId="8" xfId="0" applyNumberFormat="1" applyFont="1" applyBorder="1" applyAlignment="1" applyProtection="1">
      <alignment horizontal="center" vertical="center" wrapText="1"/>
      <protection hidden="1"/>
    </xf>
    <xf numFmtId="168" fontId="32" fillId="0" borderId="5" xfId="0" applyNumberFormat="1" applyFont="1" applyBorder="1" applyAlignment="1" applyProtection="1">
      <alignment horizontal="center" vertical="center" wrapText="1"/>
      <protection hidden="1"/>
    </xf>
    <xf numFmtId="0" fontId="33" fillId="19" borderId="42" xfId="0" applyFont="1" applyFill="1" applyBorder="1" applyAlignment="1" applyProtection="1">
      <alignment horizontal="center" vertical="center"/>
      <protection hidden="1"/>
    </xf>
    <xf numFmtId="0" fontId="33" fillId="19" borderId="1" xfId="0" applyFont="1" applyFill="1" applyBorder="1" applyAlignment="1" applyProtection="1">
      <alignment horizontal="center" vertical="center"/>
      <protection hidden="1"/>
    </xf>
    <xf numFmtId="0" fontId="31" fillId="20" borderId="3" xfId="0" applyFont="1" applyFill="1" applyBorder="1" applyAlignment="1" applyProtection="1">
      <alignment horizontal="center" vertical="center" wrapText="1"/>
      <protection hidden="1"/>
    </xf>
    <xf numFmtId="0" fontId="31" fillId="20" borderId="43" xfId="0" applyFont="1" applyFill="1" applyBorder="1" applyAlignment="1" applyProtection="1">
      <alignment horizontal="center" vertical="center" wrapText="1"/>
      <protection hidden="1"/>
    </xf>
    <xf numFmtId="0" fontId="29" fillId="19" borderId="4" xfId="0" applyFont="1" applyFill="1" applyBorder="1" applyAlignment="1" applyProtection="1">
      <alignment horizontal="center" vertical="center"/>
      <protection hidden="1"/>
    </xf>
    <xf numFmtId="0" fontId="32" fillId="19" borderId="5" xfId="0" applyFont="1" applyFill="1" applyBorder="1" applyAlignment="1" applyProtection="1">
      <alignment horizontal="center" vertical="center"/>
      <protection hidden="1"/>
    </xf>
    <xf numFmtId="0" fontId="32" fillId="19" borderId="42" xfId="0" applyFont="1" applyFill="1" applyBorder="1" applyAlignment="1" applyProtection="1">
      <alignment horizontal="center" vertical="center"/>
      <protection hidden="1"/>
    </xf>
    <xf numFmtId="0" fontId="32" fillId="19" borderId="1" xfId="0" applyFont="1" applyFill="1" applyBorder="1" applyAlignment="1" applyProtection="1">
      <alignment horizontal="center" vertical="center"/>
      <protection hidden="1"/>
    </xf>
    <xf numFmtId="0" fontId="32" fillId="19" borderId="8" xfId="0" applyFont="1" applyFill="1" applyBorder="1" applyAlignment="1" applyProtection="1">
      <alignment horizontal="center" vertical="center"/>
      <protection hidden="1"/>
    </xf>
    <xf numFmtId="0" fontId="31" fillId="20" borderId="65" xfId="0" applyFont="1" applyFill="1" applyBorder="1" applyAlignment="1" applyProtection="1">
      <alignment horizontal="center" vertical="center" wrapText="1"/>
      <protection hidden="1"/>
    </xf>
    <xf numFmtId="168" fontId="31" fillId="20" borderId="5" xfId="0" applyNumberFormat="1" applyFont="1" applyFill="1" applyBorder="1" applyAlignment="1" applyProtection="1">
      <alignment horizontal="center" vertical="center" wrapText="1"/>
      <protection hidden="1"/>
    </xf>
    <xf numFmtId="0" fontId="33" fillId="19" borderId="7" xfId="0" applyFont="1" applyFill="1" applyBorder="1" applyAlignment="1" applyProtection="1">
      <alignment horizontal="center" vertical="center"/>
      <protection hidden="1"/>
    </xf>
    <xf numFmtId="0" fontId="33" fillId="19" borderId="8" xfId="0" applyFont="1" applyFill="1" applyBorder="1" applyAlignment="1" applyProtection="1">
      <alignment horizontal="center" vertical="center"/>
      <protection hidden="1"/>
    </xf>
    <xf numFmtId="1" fontId="31" fillId="20" borderId="3" xfId="0" applyNumberFormat="1" applyFont="1" applyFill="1" applyBorder="1" applyAlignment="1" applyProtection="1">
      <alignment horizontal="center" vertical="center" wrapText="1"/>
      <protection hidden="1"/>
    </xf>
    <xf numFmtId="1" fontId="0" fillId="20" borderId="3" xfId="0" applyNumberFormat="1" applyFill="1" applyBorder="1" applyAlignment="1" applyProtection="1">
      <alignment horizontal="center" vertical="center" wrapText="1"/>
      <protection hidden="1"/>
    </xf>
    <xf numFmtId="1" fontId="0" fillId="20" borderId="13" xfId="0" applyNumberFormat="1" applyFill="1" applyBorder="1" applyAlignment="1" applyProtection="1">
      <alignment horizontal="center" vertical="center" wrapText="1"/>
      <protection hidden="1"/>
    </xf>
    <xf numFmtId="0" fontId="31" fillId="19" borderId="52" xfId="0" applyFont="1"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0" fillId="0" borderId="50" xfId="0" applyBorder="1" applyAlignment="1" applyProtection="1">
      <alignment horizontal="center" vertical="center" wrapText="1"/>
      <protection hidden="1"/>
    </xf>
    <xf numFmtId="168" fontId="31" fillId="20" borderId="43" xfId="0" applyNumberFormat="1" applyFont="1" applyFill="1" applyBorder="1" applyAlignment="1" applyProtection="1">
      <alignment horizontal="center" vertical="center" wrapText="1"/>
      <protection hidden="1"/>
    </xf>
    <xf numFmtId="0" fontId="31" fillId="20" borderId="40" xfId="0" applyFont="1" applyFill="1" applyBorder="1" applyAlignment="1" applyProtection="1">
      <alignment horizontal="center" vertical="center" wrapText="1"/>
      <protection hidden="1"/>
    </xf>
    <xf numFmtId="1" fontId="31" fillId="20" borderId="65" xfId="0" applyNumberFormat="1" applyFont="1" applyFill="1" applyBorder="1" applyAlignment="1" applyProtection="1">
      <alignment horizontal="center" vertical="center" wrapText="1"/>
      <protection hidden="1"/>
    </xf>
    <xf numFmtId="0" fontId="31" fillId="19" borderId="59" xfId="0" applyFont="1" applyFill="1" applyBorder="1" applyAlignment="1" applyProtection="1">
      <alignment horizontal="center" vertical="center" wrapText="1"/>
      <protection hidden="1"/>
    </xf>
    <xf numFmtId="0" fontId="31" fillId="19" borderId="54" xfId="0" applyFont="1" applyFill="1" applyBorder="1" applyAlignment="1" applyProtection="1">
      <alignment horizontal="center" vertical="center" wrapText="1"/>
      <protection hidden="1"/>
    </xf>
    <xf numFmtId="0" fontId="31" fillId="19" borderId="49" xfId="0" applyFont="1" applyFill="1" applyBorder="1" applyAlignment="1" applyProtection="1">
      <alignment horizontal="center" vertical="center" wrapText="1"/>
      <protection hidden="1"/>
    </xf>
    <xf numFmtId="168" fontId="32" fillId="20" borderId="5" xfId="0" applyNumberFormat="1" applyFont="1" applyFill="1" applyBorder="1" applyAlignment="1" applyProtection="1">
      <alignment horizontal="center" vertical="center" wrapText="1"/>
      <protection hidden="1"/>
    </xf>
    <xf numFmtId="168" fontId="32" fillId="20" borderId="1" xfId="0" applyNumberFormat="1" applyFont="1" applyFill="1" applyBorder="1" applyAlignment="1" applyProtection="1">
      <alignment horizontal="center" vertical="center" wrapText="1"/>
      <protection hidden="1"/>
    </xf>
    <xf numFmtId="168" fontId="32" fillId="20" borderId="8" xfId="0" applyNumberFormat="1" applyFont="1" applyFill="1" applyBorder="1" applyAlignment="1" applyProtection="1">
      <alignment horizontal="center" vertical="center" wrapText="1"/>
      <protection hidden="1"/>
    </xf>
    <xf numFmtId="0" fontId="32" fillId="20" borderId="40" xfId="0" applyFont="1" applyFill="1" applyBorder="1" applyAlignment="1" applyProtection="1">
      <alignment horizontal="center" vertical="center" wrapText="1"/>
      <protection hidden="1"/>
    </xf>
    <xf numFmtId="0" fontId="32" fillId="20" borderId="43" xfId="0" applyFont="1" applyFill="1" applyBorder="1" applyAlignment="1" applyProtection="1">
      <alignment horizontal="center" vertical="center" wrapText="1"/>
      <protection hidden="1"/>
    </xf>
    <xf numFmtId="0" fontId="32" fillId="20" borderId="12" xfId="0" applyFont="1" applyFill="1" applyBorder="1" applyAlignment="1" applyProtection="1">
      <alignment horizontal="center" vertical="center" wrapText="1"/>
      <protection hidden="1"/>
    </xf>
    <xf numFmtId="0" fontId="33" fillId="19" borderId="22" xfId="0" applyFont="1" applyFill="1" applyBorder="1" applyAlignment="1" applyProtection="1">
      <alignment horizontal="center" vertical="center"/>
      <protection hidden="1"/>
    </xf>
    <xf numFmtId="0" fontId="33" fillId="19" borderId="32" xfId="0" applyFont="1" applyFill="1" applyBorder="1" applyAlignment="1" applyProtection="1">
      <alignment horizontal="center" vertical="center"/>
      <protection hidden="1"/>
    </xf>
    <xf numFmtId="0" fontId="33" fillId="19" borderId="24" xfId="0" applyFont="1" applyFill="1" applyBorder="1" applyAlignment="1" applyProtection="1">
      <alignment horizontal="center" vertical="center"/>
      <protection hidden="1"/>
    </xf>
    <xf numFmtId="0" fontId="33" fillId="19" borderId="0" xfId="0" applyFont="1" applyFill="1" applyBorder="1" applyAlignment="1" applyProtection="1">
      <alignment horizontal="center" vertical="center"/>
      <protection hidden="1"/>
    </xf>
    <xf numFmtId="0" fontId="33" fillId="19" borderId="21" xfId="0" applyFont="1" applyFill="1" applyBorder="1" applyAlignment="1" applyProtection="1">
      <alignment horizontal="center" vertical="center"/>
      <protection hidden="1"/>
    </xf>
    <xf numFmtId="0" fontId="33" fillId="19" borderId="41" xfId="0" applyFont="1" applyFill="1" applyBorder="1" applyAlignment="1" applyProtection="1">
      <alignment horizontal="center" vertical="center"/>
      <protection hidden="1"/>
    </xf>
    <xf numFmtId="168" fontId="31" fillId="20" borderId="33" xfId="0" applyNumberFormat="1" applyFont="1" applyFill="1" applyBorder="1" applyAlignment="1" applyProtection="1">
      <alignment horizontal="center" vertical="center"/>
      <protection hidden="1"/>
    </xf>
    <xf numFmtId="168" fontId="31" fillId="20" borderId="27" xfId="0" applyNumberFormat="1" applyFont="1" applyFill="1" applyBorder="1" applyAlignment="1" applyProtection="1">
      <alignment horizontal="center" vertical="center"/>
      <protection hidden="1"/>
    </xf>
    <xf numFmtId="168" fontId="31" fillId="20" borderId="20" xfId="0" applyNumberFormat="1" applyFont="1" applyFill="1" applyBorder="1" applyAlignment="1" applyProtection="1">
      <alignment horizontal="center" vertical="center"/>
      <protection hidden="1"/>
    </xf>
    <xf numFmtId="168" fontId="31" fillId="20" borderId="50" xfId="0" applyNumberFormat="1" applyFont="1" applyFill="1" applyBorder="1" applyAlignment="1" applyProtection="1">
      <alignment horizontal="center" vertical="center"/>
      <protection hidden="1"/>
    </xf>
    <xf numFmtId="0" fontId="29" fillId="19" borderId="22" xfId="0" applyFont="1" applyFill="1" applyBorder="1" applyAlignment="1" applyProtection="1">
      <alignment horizontal="center" vertical="center"/>
      <protection hidden="1"/>
    </xf>
    <xf numFmtId="0" fontId="32" fillId="19" borderId="23" xfId="0" applyFont="1" applyFill="1" applyBorder="1" applyAlignment="1" applyProtection="1">
      <alignment horizontal="center" vertical="center"/>
      <protection hidden="1"/>
    </xf>
    <xf numFmtId="0" fontId="32" fillId="19" borderId="24" xfId="0" applyFont="1" applyFill="1" applyBorder="1" applyAlignment="1" applyProtection="1">
      <alignment horizontal="center" vertical="center"/>
      <protection hidden="1"/>
    </xf>
    <xf numFmtId="0" fontId="32" fillId="19" borderId="39" xfId="0" applyFont="1" applyFill="1" applyBorder="1" applyAlignment="1" applyProtection="1">
      <alignment horizontal="center" vertical="center"/>
      <protection hidden="1"/>
    </xf>
    <xf numFmtId="0" fontId="32" fillId="19" borderId="21" xfId="0" applyFont="1" applyFill="1" applyBorder="1" applyAlignment="1" applyProtection="1">
      <alignment horizontal="center" vertical="center"/>
      <protection hidden="1"/>
    </xf>
    <xf numFmtId="0" fontId="32" fillId="19" borderId="6" xfId="0" applyFont="1" applyFill="1" applyBorder="1" applyAlignment="1" applyProtection="1">
      <alignment horizontal="center" vertical="center"/>
      <protection hidden="1"/>
    </xf>
    <xf numFmtId="0" fontId="29" fillId="19" borderId="32" xfId="0" applyFont="1" applyFill="1" applyBorder="1" applyAlignment="1" applyProtection="1">
      <alignment horizontal="center" vertical="center"/>
      <protection hidden="1"/>
    </xf>
    <xf numFmtId="0" fontId="29" fillId="19" borderId="24" xfId="0" applyFont="1" applyFill="1" applyBorder="1" applyAlignment="1" applyProtection="1">
      <alignment horizontal="center" vertical="center"/>
      <protection hidden="1"/>
    </xf>
    <xf numFmtId="0" fontId="29" fillId="19" borderId="0" xfId="0" applyFont="1" applyFill="1" applyBorder="1" applyAlignment="1" applyProtection="1">
      <alignment horizontal="center" vertical="center"/>
      <protection hidden="1"/>
    </xf>
    <xf numFmtId="0" fontId="29" fillId="19" borderId="21" xfId="0" applyFont="1" applyFill="1" applyBorder="1" applyAlignment="1" applyProtection="1">
      <alignment horizontal="center" vertical="center"/>
      <protection hidden="1"/>
    </xf>
    <xf numFmtId="0" fontId="29" fillId="19" borderId="41" xfId="0" applyFont="1" applyFill="1" applyBorder="1" applyAlignment="1" applyProtection="1">
      <alignment horizontal="center" vertical="center"/>
      <protection hidden="1"/>
    </xf>
    <xf numFmtId="0" fontId="33" fillId="19" borderId="23" xfId="0" applyFont="1" applyFill="1" applyBorder="1" applyAlignment="1" applyProtection="1">
      <alignment horizontal="center" vertical="center"/>
      <protection hidden="1"/>
    </xf>
    <xf numFmtId="0" fontId="33" fillId="19" borderId="39" xfId="0" applyFont="1" applyFill="1" applyBorder="1" applyAlignment="1" applyProtection="1">
      <alignment horizontal="center" vertical="center"/>
      <protection hidden="1"/>
    </xf>
    <xf numFmtId="0" fontId="33" fillId="19" borderId="6" xfId="0" applyFont="1" applyFill="1" applyBorder="1" applyAlignment="1" applyProtection="1">
      <alignment horizontal="center" vertical="center"/>
      <protection hidden="1"/>
    </xf>
    <xf numFmtId="0" fontId="29" fillId="19" borderId="22" xfId="0" applyFont="1" applyFill="1" applyBorder="1" applyAlignment="1" applyProtection="1">
      <alignment horizontal="center" vertical="center" wrapText="1"/>
      <protection hidden="1"/>
    </xf>
    <xf numFmtId="0" fontId="29" fillId="19" borderId="23" xfId="0" applyFont="1" applyFill="1" applyBorder="1" applyAlignment="1" applyProtection="1">
      <alignment horizontal="center" vertical="center" wrapText="1"/>
      <protection hidden="1"/>
    </xf>
    <xf numFmtId="0" fontId="29" fillId="19" borderId="24" xfId="0" applyFont="1" applyFill="1" applyBorder="1" applyAlignment="1" applyProtection="1">
      <alignment horizontal="center" vertical="center" wrapText="1"/>
      <protection hidden="1"/>
    </xf>
    <xf numFmtId="0" fontId="29" fillId="19" borderId="39" xfId="0" applyFont="1" applyFill="1" applyBorder="1" applyAlignment="1" applyProtection="1">
      <alignment horizontal="center" vertical="center" wrapText="1"/>
      <protection hidden="1"/>
    </xf>
    <xf numFmtId="0" fontId="29" fillId="19" borderId="21" xfId="0" applyFont="1" applyFill="1" applyBorder="1" applyAlignment="1" applyProtection="1">
      <alignment horizontal="center" vertical="center" wrapText="1"/>
      <protection hidden="1"/>
    </xf>
    <xf numFmtId="0" fontId="29" fillId="19" borderId="6" xfId="0" applyFont="1" applyFill="1" applyBorder="1" applyAlignment="1" applyProtection="1">
      <alignment horizontal="center" vertical="center" wrapText="1"/>
      <protection hidden="1"/>
    </xf>
    <xf numFmtId="0" fontId="32" fillId="19" borderId="52" xfId="0" applyFont="1" applyFill="1" applyBorder="1" applyAlignment="1" applyProtection="1">
      <alignment horizontal="center" vertical="center" wrapText="1"/>
      <protection hidden="1"/>
    </xf>
    <xf numFmtId="0" fontId="31" fillId="20" borderId="29" xfId="0" applyFont="1" applyFill="1" applyBorder="1" applyAlignment="1" applyProtection="1">
      <alignment horizontal="center" vertical="center"/>
      <protection hidden="1"/>
    </xf>
    <xf numFmtId="0" fontId="31" fillId="20" borderId="30" xfId="0" applyFont="1" applyFill="1" applyBorder="1" applyAlignment="1" applyProtection="1">
      <alignment horizontal="center" vertical="center"/>
      <protection hidden="1"/>
    </xf>
    <xf numFmtId="0" fontId="31" fillId="20" borderId="78" xfId="0" applyFont="1" applyFill="1" applyBorder="1" applyAlignment="1" applyProtection="1">
      <alignment horizontal="center" vertical="center"/>
      <protection hidden="1"/>
    </xf>
    <xf numFmtId="0" fontId="17" fillId="6" borderId="45" xfId="0" applyFont="1" applyFill="1" applyBorder="1" applyAlignment="1" applyProtection="1">
      <alignment horizontal="center" vertical="center" wrapText="1"/>
      <protection hidden="1"/>
    </xf>
    <xf numFmtId="0" fontId="17" fillId="6" borderId="47" xfId="0" applyFont="1" applyFill="1" applyBorder="1" applyAlignment="1" applyProtection="1">
      <alignment horizontal="center" vertical="center" wrapText="1"/>
      <protection hidden="1"/>
    </xf>
    <xf numFmtId="0" fontId="32" fillId="6" borderId="57" xfId="0" applyFont="1" applyFill="1" applyBorder="1" applyAlignment="1" applyProtection="1">
      <alignment horizontal="center" vertical="center"/>
      <protection hidden="1"/>
    </xf>
    <xf numFmtId="0" fontId="17" fillId="6" borderId="24" xfId="0" applyFont="1" applyFill="1" applyBorder="1" applyAlignment="1" applyProtection="1">
      <alignment horizontal="center" vertical="center" wrapText="1"/>
      <protection hidden="1"/>
    </xf>
    <xf numFmtId="0" fontId="17" fillId="6" borderId="0" xfId="0" applyFont="1" applyFill="1" applyBorder="1" applyAlignment="1" applyProtection="1">
      <alignment horizontal="center" vertical="center" wrapText="1"/>
      <protection hidden="1"/>
    </xf>
    <xf numFmtId="0" fontId="17" fillId="6" borderId="39" xfId="0"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22" borderId="52" xfId="0" applyFont="1" applyFill="1" applyBorder="1" applyAlignment="1" applyProtection="1">
      <alignment horizontal="center" vertical="center"/>
      <protection hidden="1"/>
    </xf>
    <xf numFmtId="0" fontId="32" fillId="22" borderId="27" xfId="0" applyFont="1" applyFill="1" applyBorder="1" applyAlignment="1" applyProtection="1">
      <alignment horizontal="center" vertical="center"/>
      <protection hidden="1"/>
    </xf>
    <xf numFmtId="0" fontId="32" fillId="22" borderId="50" xfId="0" applyFont="1" applyFill="1" applyBorder="1" applyAlignment="1" applyProtection="1">
      <alignment horizontal="center" vertical="center"/>
      <protection hidden="1"/>
    </xf>
    <xf numFmtId="14" fontId="31" fillId="20" borderId="60" xfId="0" applyNumberFormat="1" applyFont="1" applyFill="1" applyBorder="1" applyAlignment="1" applyProtection="1">
      <alignment horizontal="center" vertical="center"/>
      <protection hidden="1"/>
    </xf>
    <xf numFmtId="14" fontId="31" fillId="20" borderId="53" xfId="0" applyNumberFormat="1" applyFont="1" applyFill="1" applyBorder="1" applyAlignment="1" applyProtection="1">
      <alignment horizontal="center" vertical="center"/>
      <protection hidden="1"/>
    </xf>
    <xf numFmtId="14" fontId="31" fillId="20" borderId="45" xfId="0" applyNumberFormat="1" applyFont="1" applyFill="1" applyBorder="1" applyAlignment="1" applyProtection="1">
      <alignment horizontal="center" vertical="center"/>
      <protection hidden="1"/>
    </xf>
    <xf numFmtId="14" fontId="31" fillId="20" borderId="47" xfId="0" applyNumberFormat="1" applyFont="1" applyFill="1" applyBorder="1" applyAlignment="1" applyProtection="1">
      <alignment horizontal="center" vertical="center"/>
      <protection hidden="1"/>
    </xf>
    <xf numFmtId="0" fontId="31" fillId="20" borderId="47" xfId="0" applyFont="1" applyFill="1" applyBorder="1" applyAlignment="1" applyProtection="1">
      <alignment horizontal="center" vertical="center"/>
      <protection hidden="1"/>
    </xf>
    <xf numFmtId="0" fontId="31" fillId="20" borderId="53" xfId="0" applyFont="1" applyFill="1" applyBorder="1" applyAlignment="1" applyProtection="1">
      <alignment horizontal="center" vertical="center"/>
      <protection hidden="1"/>
    </xf>
    <xf numFmtId="0" fontId="31" fillId="20" borderId="51" xfId="0" applyFont="1" applyFill="1" applyBorder="1" applyAlignment="1" applyProtection="1">
      <alignment horizontal="center" vertical="center"/>
      <protection hidden="1"/>
    </xf>
    <xf numFmtId="168" fontId="31" fillId="20" borderId="52" xfId="0" applyNumberFormat="1" applyFont="1" applyFill="1" applyBorder="1" applyAlignment="1" applyProtection="1">
      <alignment horizontal="center" vertical="center"/>
      <protection hidden="1"/>
    </xf>
    <xf numFmtId="0" fontId="17" fillId="6" borderId="18"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wrapText="1"/>
      <protection hidden="1"/>
    </xf>
    <xf numFmtId="0" fontId="31" fillId="20" borderId="77" xfId="0" applyFont="1" applyFill="1" applyBorder="1" applyAlignment="1" applyProtection="1">
      <alignment horizontal="center" vertical="center"/>
      <protection hidden="1"/>
    </xf>
    <xf numFmtId="0" fontId="31" fillId="20" borderId="18" xfId="0" applyFont="1" applyFill="1" applyBorder="1" applyAlignment="1" applyProtection="1">
      <alignment horizontal="center" vertical="center"/>
      <protection hidden="1"/>
    </xf>
    <xf numFmtId="0" fontId="28" fillId="13" borderId="22" xfId="0" applyFont="1" applyFill="1" applyBorder="1" applyAlignment="1" applyProtection="1">
      <alignment horizontal="center" vertical="center" wrapText="1"/>
      <protection hidden="1"/>
    </xf>
    <xf numFmtId="0" fontId="28" fillId="13" borderId="32" xfId="0" applyFont="1" applyFill="1" applyBorder="1" applyAlignment="1" applyProtection="1">
      <alignment horizontal="center" vertical="center" wrapText="1"/>
      <protection hidden="1"/>
    </xf>
    <xf numFmtId="0" fontId="28" fillId="13" borderId="23" xfId="0" applyFont="1" applyFill="1" applyBorder="1" applyAlignment="1" applyProtection="1">
      <alignment horizontal="center" vertical="center" wrapText="1"/>
      <protection hidden="1"/>
    </xf>
    <xf numFmtId="0" fontId="28" fillId="13" borderId="21" xfId="0" applyFont="1" applyFill="1" applyBorder="1" applyAlignment="1" applyProtection="1">
      <alignment horizontal="center" vertical="center" wrapText="1"/>
      <protection hidden="1"/>
    </xf>
    <xf numFmtId="0" fontId="28" fillId="13" borderId="41" xfId="0" applyFont="1" applyFill="1" applyBorder="1" applyAlignment="1" applyProtection="1">
      <alignment horizontal="center" vertical="center" wrapText="1"/>
      <protection hidden="1"/>
    </xf>
    <xf numFmtId="0" fontId="28" fillId="13" borderId="6" xfId="0" applyFont="1" applyFill="1" applyBorder="1" applyAlignment="1" applyProtection="1">
      <alignment horizontal="center" vertical="center" wrapText="1"/>
      <protection hidden="1"/>
    </xf>
    <xf numFmtId="49" fontId="29" fillId="6" borderId="44" xfId="0" applyNumberFormat="1" applyFont="1" applyFill="1" applyBorder="1" applyAlignment="1" applyProtection="1">
      <alignment horizontal="center" vertical="center"/>
      <protection hidden="1"/>
    </xf>
    <xf numFmtId="49" fontId="29" fillId="6" borderId="7" xfId="0" applyNumberFormat="1" applyFont="1" applyFill="1" applyBorder="1" applyAlignment="1" applyProtection="1">
      <alignment horizontal="center" vertical="center"/>
      <protection hidden="1"/>
    </xf>
    <xf numFmtId="49" fontId="29" fillId="6" borderId="20" xfId="0" applyNumberFormat="1" applyFont="1" applyFill="1" applyBorder="1" applyAlignment="1" applyProtection="1">
      <alignment horizontal="center" vertical="center" wrapText="1"/>
      <protection hidden="1"/>
    </xf>
    <xf numFmtId="49" fontId="29" fillId="6" borderId="8" xfId="0" applyNumberFormat="1" applyFont="1" applyFill="1" applyBorder="1" applyAlignment="1" applyProtection="1">
      <alignment horizontal="center" vertical="center" wrapText="1"/>
      <protection hidden="1"/>
    </xf>
    <xf numFmtId="49" fontId="29" fillId="6" borderId="27" xfId="2" applyNumberFormat="1" applyFont="1" applyFill="1" applyBorder="1" applyAlignment="1" applyProtection="1">
      <alignment horizontal="center" vertical="center"/>
      <protection hidden="1"/>
    </xf>
    <xf numFmtId="49" fontId="29" fillId="6" borderId="50" xfId="2" applyNumberFormat="1" applyFont="1" applyFill="1" applyBorder="1" applyAlignment="1" applyProtection="1">
      <alignment horizontal="center" vertical="center"/>
      <protection hidden="1"/>
    </xf>
    <xf numFmtId="49" fontId="29" fillId="6" borderId="20" xfId="2" applyNumberFormat="1" applyFont="1" applyFill="1" applyBorder="1" applyAlignment="1" applyProtection="1">
      <alignment horizontal="center" vertical="center" wrapText="1"/>
      <protection hidden="1"/>
    </xf>
    <xf numFmtId="49" fontId="29" fillId="6" borderId="8" xfId="2" applyNumberFormat="1" applyFont="1" applyFill="1" applyBorder="1" applyAlignment="1" applyProtection="1">
      <alignment horizontal="center" vertical="center" wrapText="1"/>
      <protection hidden="1"/>
    </xf>
    <xf numFmtId="49" fontId="29" fillId="6" borderId="45" xfId="0" applyNumberFormat="1" applyFont="1" applyFill="1" applyBorder="1" applyAlignment="1" applyProtection="1">
      <alignment horizontal="center" vertical="center" wrapText="1"/>
      <protection hidden="1"/>
    </xf>
    <xf numFmtId="49" fontId="29" fillId="6" borderId="12" xfId="0" applyNumberFormat="1" applyFont="1" applyFill="1" applyBorder="1" applyAlignment="1" applyProtection="1">
      <alignment horizontal="center" vertical="center" wrapText="1"/>
      <protection hidden="1"/>
    </xf>
    <xf numFmtId="49" fontId="29" fillId="6" borderId="4" xfId="2" applyNumberFormat="1" applyFont="1" applyFill="1" applyBorder="1" applyAlignment="1" applyProtection="1">
      <alignment horizontal="center" vertical="center" wrapText="1"/>
      <protection hidden="1"/>
    </xf>
    <xf numFmtId="49" fontId="29" fillId="6" borderId="7" xfId="2" applyNumberFormat="1" applyFont="1" applyFill="1" applyBorder="1" applyAlignment="1" applyProtection="1">
      <alignment horizontal="center" vertical="center" wrapText="1"/>
      <protection hidden="1"/>
    </xf>
    <xf numFmtId="49" fontId="29" fillId="6" borderId="5" xfId="2" applyNumberFormat="1" applyFont="1" applyFill="1" applyBorder="1" applyAlignment="1" applyProtection="1">
      <alignment horizontal="center" vertical="center" wrapText="1"/>
      <protection hidden="1"/>
    </xf>
    <xf numFmtId="0" fontId="29" fillId="6" borderId="4" xfId="0" applyFont="1" applyFill="1" applyBorder="1" applyAlignment="1" applyProtection="1">
      <alignment horizontal="center" vertical="center" wrapText="1"/>
      <protection hidden="1"/>
    </xf>
    <xf numFmtId="0" fontId="29" fillId="6" borderId="7" xfId="0" applyFont="1" applyFill="1" applyBorder="1" applyAlignment="1" applyProtection="1">
      <alignment horizontal="center" vertical="center" wrapText="1"/>
      <protection hidden="1"/>
    </xf>
    <xf numFmtId="0" fontId="29" fillId="6" borderId="40" xfId="0" applyFont="1" applyFill="1" applyBorder="1" applyAlignment="1" applyProtection="1">
      <alignment horizontal="center" vertical="center" wrapText="1"/>
      <protection hidden="1"/>
    </xf>
    <xf numFmtId="0" fontId="29" fillId="6" borderId="12" xfId="0" applyFont="1" applyFill="1" applyBorder="1" applyAlignment="1" applyProtection="1">
      <alignment horizontal="center" vertical="center" wrapText="1"/>
      <protection hidden="1"/>
    </xf>
    <xf numFmtId="0" fontId="31" fillId="23" borderId="22" xfId="0" applyFont="1" applyFill="1" applyBorder="1" applyAlignment="1" applyProtection="1">
      <alignment horizontal="center" vertical="center"/>
      <protection hidden="1"/>
    </xf>
    <xf numFmtId="0" fontId="31" fillId="23" borderId="24" xfId="0" applyFont="1" applyFill="1" applyBorder="1" applyAlignment="1" applyProtection="1">
      <alignment horizontal="center" vertical="center"/>
      <protection hidden="1"/>
    </xf>
    <xf numFmtId="0" fontId="31" fillId="23" borderId="21" xfId="0" applyFont="1" applyFill="1" applyBorder="1" applyAlignment="1" applyProtection="1">
      <alignment horizontal="center" vertical="center"/>
      <protection hidden="1"/>
    </xf>
    <xf numFmtId="0" fontId="29" fillId="6" borderId="40" xfId="0" applyFont="1" applyFill="1" applyBorder="1" applyAlignment="1" applyProtection="1">
      <alignment horizontal="center" vertical="center"/>
      <protection hidden="1"/>
    </xf>
    <xf numFmtId="0" fontId="29" fillId="6" borderId="47" xfId="0" applyFont="1" applyFill="1" applyBorder="1" applyAlignment="1" applyProtection="1">
      <alignment horizontal="center" vertical="center"/>
      <protection hidden="1"/>
    </xf>
    <xf numFmtId="0" fontId="32" fillId="23" borderId="62" xfId="0" applyFont="1" applyFill="1" applyBorder="1" applyAlignment="1" applyProtection="1">
      <alignment horizontal="center" vertical="center" wrapText="1"/>
      <protection hidden="1"/>
    </xf>
    <xf numFmtId="0" fontId="32" fillId="23" borderId="63" xfId="0" applyFont="1" applyFill="1" applyBorder="1" applyAlignment="1" applyProtection="1">
      <alignment horizontal="center" vertical="center" wrapText="1"/>
      <protection hidden="1"/>
    </xf>
    <xf numFmtId="0" fontId="32" fillId="23" borderId="64" xfId="0" applyFont="1" applyFill="1" applyBorder="1" applyAlignment="1" applyProtection="1">
      <alignment horizontal="center" vertical="center" wrapText="1"/>
      <protection hidden="1"/>
    </xf>
    <xf numFmtId="0" fontId="32" fillId="23" borderId="24" xfId="0" applyFont="1" applyFill="1" applyBorder="1" applyAlignment="1" applyProtection="1">
      <alignment horizontal="center" vertical="center" wrapText="1"/>
      <protection hidden="1"/>
    </xf>
    <xf numFmtId="0" fontId="32" fillId="23" borderId="21" xfId="0" applyFont="1" applyFill="1" applyBorder="1" applyAlignment="1" applyProtection="1">
      <alignment horizontal="center" vertical="center" wrapText="1"/>
      <protection hidden="1"/>
    </xf>
    <xf numFmtId="0" fontId="32" fillId="23" borderId="22" xfId="0" applyFont="1" applyFill="1" applyBorder="1" applyAlignment="1" applyProtection="1">
      <alignment horizontal="center" vertical="center" wrapText="1"/>
      <protection hidden="1"/>
    </xf>
    <xf numFmtId="0" fontId="29" fillId="6" borderId="58" xfId="0" applyFont="1" applyFill="1" applyBorder="1" applyAlignment="1" applyProtection="1">
      <alignment horizontal="center" vertical="center" wrapText="1"/>
      <protection hidden="1"/>
    </xf>
    <xf numFmtId="0" fontId="29" fillId="6" borderId="26" xfId="0" applyFont="1" applyFill="1" applyBorder="1" applyAlignment="1" applyProtection="1">
      <alignment horizontal="center" vertical="center" wrapText="1"/>
      <protection hidden="1"/>
    </xf>
    <xf numFmtId="0" fontId="29" fillId="6" borderId="5" xfId="0" applyFont="1" applyFill="1" applyBorder="1" applyAlignment="1" applyProtection="1">
      <alignment horizontal="center" vertical="center" wrapText="1"/>
      <protection hidden="1"/>
    </xf>
    <xf numFmtId="0" fontId="29" fillId="6" borderId="33" xfId="0" applyFont="1" applyFill="1" applyBorder="1" applyAlignment="1" applyProtection="1">
      <alignment horizontal="center" vertical="center" wrapText="1"/>
      <protection hidden="1"/>
    </xf>
    <xf numFmtId="0" fontId="29" fillId="6" borderId="4" xfId="0" applyFont="1" applyFill="1" applyBorder="1" applyAlignment="1" applyProtection="1">
      <alignment horizontal="center" vertical="center"/>
      <protection hidden="1"/>
    </xf>
    <xf numFmtId="0" fontId="29" fillId="6" borderId="46" xfId="0" applyFont="1" applyFill="1" applyBorder="1" applyAlignment="1" applyProtection="1">
      <alignment horizontal="center" vertical="center"/>
      <protection hidden="1"/>
    </xf>
    <xf numFmtId="0" fontId="29" fillId="6" borderId="5" xfId="0" applyFont="1" applyFill="1" applyBorder="1" applyAlignment="1" applyProtection="1">
      <alignment horizontal="center" vertical="center"/>
      <protection hidden="1"/>
    </xf>
    <xf numFmtId="0" fontId="29" fillId="6" borderId="33" xfId="0" applyFont="1" applyFill="1" applyBorder="1" applyAlignment="1" applyProtection="1">
      <alignment horizontal="center" vertical="center"/>
      <protection hidden="1"/>
    </xf>
    <xf numFmtId="0" fontId="29" fillId="6" borderId="52" xfId="0" applyFont="1" applyFill="1" applyBorder="1" applyAlignment="1" applyProtection="1">
      <alignment horizontal="center" vertical="center" wrapText="1"/>
      <protection hidden="1"/>
    </xf>
    <xf numFmtId="0" fontId="29" fillId="6" borderId="27" xfId="0" applyFont="1" applyFill="1" applyBorder="1" applyAlignment="1" applyProtection="1">
      <alignment horizontal="center" vertical="center" wrapText="1"/>
      <protection hidden="1"/>
    </xf>
    <xf numFmtId="2" fontId="6" fillId="0" borderId="1" xfId="0" applyNumberFormat="1" applyFont="1" applyFill="1" applyBorder="1" applyAlignment="1" applyProtection="1">
      <alignment horizontal="center" vertical="center"/>
      <protection hidden="1"/>
    </xf>
    <xf numFmtId="2" fontId="6" fillId="0" borderId="8" xfId="0" applyNumberFormat="1" applyFont="1" applyFill="1" applyBorder="1" applyAlignment="1" applyProtection="1">
      <alignment horizontal="center" vertical="center"/>
      <protection hidden="1"/>
    </xf>
    <xf numFmtId="0" fontId="17" fillId="6" borderId="22" xfId="0" applyFont="1" applyFill="1" applyBorder="1" applyAlignment="1" applyProtection="1">
      <alignment horizontal="center" vertical="center"/>
      <protection hidden="1"/>
    </xf>
    <xf numFmtId="0" fontId="17" fillId="6" borderId="32" xfId="0" applyFont="1" applyFill="1" applyBorder="1" applyAlignment="1" applyProtection="1">
      <alignment horizontal="center" vertical="center"/>
      <protection hidden="1"/>
    </xf>
    <xf numFmtId="0" fontId="17" fillId="6" borderId="23" xfId="0" applyFont="1" applyFill="1" applyBorder="1" applyAlignment="1" applyProtection="1">
      <alignment horizontal="center" vertical="center"/>
      <protection hidden="1"/>
    </xf>
    <xf numFmtId="0" fontId="32" fillId="0" borderId="58" xfId="0" applyFont="1" applyBorder="1" applyAlignment="1" applyProtection="1">
      <alignment horizontal="center"/>
      <protection hidden="1"/>
    </xf>
    <xf numFmtId="0" fontId="32" fillId="0" borderId="65" xfId="0" applyFont="1" applyBorder="1" applyAlignment="1" applyProtection="1">
      <alignment horizontal="center"/>
      <protection hidden="1"/>
    </xf>
    <xf numFmtId="0" fontId="31" fillId="0" borderId="58" xfId="0" applyFont="1" applyFill="1" applyBorder="1" applyAlignment="1" applyProtection="1">
      <alignment horizontal="center" vertical="center"/>
      <protection hidden="1"/>
    </xf>
    <xf numFmtId="0" fontId="31" fillId="0" borderId="65" xfId="0" applyFont="1" applyFill="1" applyBorder="1" applyAlignment="1" applyProtection="1">
      <alignment horizontal="center" vertical="center"/>
      <protection hidden="1"/>
    </xf>
    <xf numFmtId="2" fontId="46" fillId="0" borderId="22" xfId="0" applyNumberFormat="1" applyFont="1" applyFill="1" applyBorder="1" applyAlignment="1" applyProtection="1">
      <alignment horizontal="center" vertical="center" wrapText="1"/>
      <protection hidden="1"/>
    </xf>
    <xf numFmtId="2" fontId="46" fillId="0" borderId="32" xfId="0" applyNumberFormat="1" applyFont="1" applyFill="1" applyBorder="1" applyAlignment="1" applyProtection="1">
      <alignment horizontal="center" vertical="center" wrapText="1"/>
      <protection hidden="1"/>
    </xf>
    <xf numFmtId="2" fontId="46" fillId="0" borderId="23" xfId="0" applyNumberFormat="1" applyFont="1" applyFill="1" applyBorder="1" applyAlignment="1" applyProtection="1">
      <alignment horizontal="center" vertical="center" wrapText="1"/>
      <protection hidden="1"/>
    </xf>
    <xf numFmtId="2" fontId="46" fillId="0" borderId="24" xfId="0" applyNumberFormat="1" applyFont="1" applyFill="1" applyBorder="1" applyAlignment="1" applyProtection="1">
      <alignment horizontal="center" vertical="center" wrapText="1"/>
      <protection hidden="1"/>
    </xf>
    <xf numFmtId="2" fontId="46" fillId="0" borderId="0" xfId="0" applyNumberFormat="1" applyFont="1" applyFill="1" applyBorder="1" applyAlignment="1" applyProtection="1">
      <alignment horizontal="center" vertical="center" wrapText="1"/>
      <protection hidden="1"/>
    </xf>
    <xf numFmtId="2" fontId="46" fillId="0" borderId="39" xfId="0" applyNumberFormat="1" applyFont="1" applyFill="1" applyBorder="1" applyAlignment="1" applyProtection="1">
      <alignment horizontal="center" vertical="center" wrapText="1"/>
      <protection hidden="1"/>
    </xf>
    <xf numFmtId="2" fontId="46" fillId="0" borderId="21" xfId="0" applyNumberFormat="1" applyFont="1" applyFill="1" applyBorder="1" applyAlignment="1" applyProtection="1">
      <alignment horizontal="center" vertical="center" wrapText="1"/>
      <protection hidden="1"/>
    </xf>
    <xf numFmtId="2" fontId="46" fillId="0" borderId="41" xfId="0" applyNumberFormat="1" applyFont="1" applyFill="1" applyBorder="1" applyAlignment="1" applyProtection="1">
      <alignment horizontal="center" vertical="center" wrapText="1"/>
      <protection hidden="1"/>
    </xf>
    <xf numFmtId="2" fontId="46" fillId="0" borderId="6" xfId="0" applyNumberFormat="1" applyFont="1" applyFill="1" applyBorder="1" applyAlignment="1" applyProtection="1">
      <alignment horizontal="center" vertical="center" wrapText="1"/>
      <protection hidden="1"/>
    </xf>
    <xf numFmtId="2" fontId="4" fillId="6" borderId="49" xfId="0" applyNumberFormat="1" applyFont="1" applyFill="1" applyBorder="1" applyAlignment="1" applyProtection="1">
      <alignment horizontal="left" vertical="center" wrapText="1"/>
      <protection hidden="1"/>
    </xf>
    <xf numFmtId="2" fontId="4" fillId="6" borderId="50" xfId="0" applyNumberFormat="1" applyFont="1" applyFill="1" applyBorder="1" applyAlignment="1" applyProtection="1">
      <alignment horizontal="left" vertical="center" wrapText="1"/>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8" fillId="6" borderId="38" xfId="0" applyNumberFormat="1" applyFont="1" applyFill="1" applyBorder="1" applyAlignment="1" applyProtection="1">
      <alignment horizontal="center" vertical="center" wrapText="1"/>
      <protection hidden="1"/>
    </xf>
    <xf numFmtId="2" fontId="18" fillId="6" borderId="13" xfId="0" applyNumberFormat="1" applyFont="1" applyFill="1" applyBorder="1" applyAlignment="1" applyProtection="1">
      <alignment horizontal="center" vertical="center" wrapText="1"/>
      <protection hidden="1"/>
    </xf>
    <xf numFmtId="2" fontId="18" fillId="6" borderId="58" xfId="0" applyNumberFormat="1" applyFont="1" applyFill="1" applyBorder="1" applyAlignment="1" applyProtection="1">
      <alignment horizontal="center" vertical="center" wrapText="1"/>
      <protection hidden="1"/>
    </xf>
    <xf numFmtId="2" fontId="18" fillId="6" borderId="65" xfId="0" applyNumberFormat="1" applyFont="1" applyFill="1" applyBorder="1" applyAlignment="1" applyProtection="1">
      <alignment horizontal="center" vertical="center" wrapText="1"/>
      <protection hidden="1"/>
    </xf>
    <xf numFmtId="2" fontId="10" fillId="3" borderId="14" xfId="0" applyNumberFormat="1" applyFont="1" applyFill="1" applyBorder="1" applyAlignment="1" applyProtection="1">
      <alignment horizontal="center" vertical="center" wrapText="1"/>
      <protection hidden="1"/>
    </xf>
    <xf numFmtId="2" fontId="10" fillId="3" borderId="15" xfId="0" applyNumberFormat="1" applyFont="1" applyFill="1" applyBorder="1" applyAlignment="1" applyProtection="1">
      <alignment horizontal="center" vertical="center" wrapText="1"/>
      <protection hidden="1"/>
    </xf>
    <xf numFmtId="2" fontId="10" fillId="3" borderId="32" xfId="0" applyNumberFormat="1" applyFont="1" applyFill="1" applyBorder="1" applyAlignment="1" applyProtection="1">
      <alignment horizontal="center" vertical="center" wrapText="1"/>
      <protection hidden="1"/>
    </xf>
    <xf numFmtId="2" fontId="10" fillId="3" borderId="16" xfId="0" applyNumberFormat="1" applyFont="1" applyFill="1" applyBorder="1" applyAlignment="1" applyProtection="1">
      <alignment horizontal="center" vertical="center" wrapText="1"/>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28" fillId="3" borderId="14" xfId="0" applyNumberFormat="1" applyFont="1" applyFill="1" applyBorder="1" applyAlignment="1" applyProtection="1">
      <alignment horizontal="center" vertical="center"/>
      <protection hidden="1"/>
    </xf>
    <xf numFmtId="2" fontId="28" fillId="3" borderId="15" xfId="0" applyNumberFormat="1" applyFont="1" applyFill="1" applyBorder="1" applyAlignment="1" applyProtection="1">
      <alignment horizontal="center" vertical="center"/>
      <protection hidden="1"/>
    </xf>
    <xf numFmtId="2" fontId="28" fillId="3" borderId="16" xfId="0" applyNumberFormat="1" applyFont="1" applyFill="1" applyBorder="1" applyAlignment="1" applyProtection="1">
      <alignment horizontal="center" vertical="center"/>
      <protection hidden="1"/>
    </xf>
    <xf numFmtId="2" fontId="10" fillId="8" borderId="14" xfId="0" applyNumberFormat="1" applyFont="1" applyFill="1" applyBorder="1" applyAlignment="1" applyProtection="1">
      <alignment horizontal="center" vertical="center" wrapText="1"/>
      <protection hidden="1"/>
    </xf>
    <xf numFmtId="2" fontId="10" fillId="8" borderId="15" xfId="0" applyNumberFormat="1" applyFont="1" applyFill="1" applyBorder="1" applyAlignment="1" applyProtection="1">
      <alignment horizontal="center" vertical="center" wrapText="1"/>
      <protection hidden="1"/>
    </xf>
    <xf numFmtId="2" fontId="10" fillId="8" borderId="16" xfId="0" applyNumberFormat="1" applyFont="1" applyFill="1" applyBorder="1" applyAlignment="1" applyProtection="1">
      <alignment horizontal="center" vertical="center" wrapText="1"/>
      <protection hidden="1"/>
    </xf>
    <xf numFmtId="2" fontId="14" fillId="8" borderId="22" xfId="0" applyNumberFormat="1" applyFont="1" applyFill="1" applyBorder="1" applyAlignment="1" applyProtection="1">
      <alignment horizontal="center" vertical="center"/>
      <protection hidden="1"/>
    </xf>
    <xf numFmtId="2" fontId="14" fillId="8" borderId="32" xfId="0" applyNumberFormat="1" applyFont="1" applyFill="1" applyBorder="1" applyAlignment="1" applyProtection="1">
      <alignment horizontal="center" vertical="center"/>
      <protection hidden="1"/>
    </xf>
    <xf numFmtId="2" fontId="14" fillId="8" borderId="23" xfId="0" applyNumberFormat="1" applyFont="1" applyFill="1" applyBorder="1" applyAlignment="1" applyProtection="1">
      <alignment horizontal="center" vertical="center"/>
      <protection hidden="1"/>
    </xf>
    <xf numFmtId="2" fontId="28" fillId="3" borderId="14" xfId="0" applyNumberFormat="1" applyFont="1" applyFill="1" applyBorder="1" applyAlignment="1" applyProtection="1">
      <alignment horizontal="center" vertical="center" wrapText="1"/>
      <protection hidden="1"/>
    </xf>
    <xf numFmtId="2" fontId="28" fillId="3" borderId="15" xfId="0" applyNumberFormat="1" applyFont="1" applyFill="1" applyBorder="1" applyAlignment="1" applyProtection="1">
      <alignment horizontal="center" vertical="center" wrapText="1"/>
      <protection hidden="1"/>
    </xf>
    <xf numFmtId="2" fontId="28" fillId="3" borderId="16" xfId="0" applyNumberFormat="1" applyFont="1" applyFill="1" applyBorder="1" applyAlignment="1" applyProtection="1">
      <alignment horizontal="center" vertical="center" wrapText="1"/>
      <protection hidden="1"/>
    </xf>
    <xf numFmtId="2" fontId="28" fillId="8" borderId="14" xfId="0" applyNumberFormat="1" applyFont="1" applyFill="1" applyBorder="1" applyAlignment="1" applyProtection="1">
      <alignment horizontal="center" vertical="center" wrapText="1"/>
      <protection hidden="1"/>
    </xf>
    <xf numFmtId="2" fontId="28" fillId="8" borderId="15" xfId="0" applyNumberFormat="1" applyFont="1" applyFill="1" applyBorder="1" applyAlignment="1" applyProtection="1">
      <alignment horizontal="center" vertical="center" wrapText="1"/>
      <protection hidden="1"/>
    </xf>
    <xf numFmtId="2" fontId="28" fillId="8" borderId="16" xfId="0" applyNumberFormat="1" applyFont="1" applyFill="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0"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3" fillId="6" borderId="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7" fillId="6" borderId="19" xfId="0" applyNumberFormat="1" applyFont="1" applyFill="1" applyBorder="1" applyAlignment="1" applyProtection="1">
      <alignment horizontal="center" vertical="center"/>
      <protection hidden="1"/>
    </xf>
    <xf numFmtId="2" fontId="7" fillId="6" borderId="19" xfId="0" applyNumberFormat="1" applyFont="1" applyFill="1" applyBorder="1" applyAlignment="1" applyProtection="1">
      <alignment horizontal="center"/>
      <protection hidden="1"/>
    </xf>
    <xf numFmtId="2" fontId="7" fillId="6" borderId="68" xfId="0" applyNumberFormat="1" applyFont="1" applyFill="1" applyBorder="1" applyAlignment="1" applyProtection="1">
      <alignment horizontal="center"/>
      <protection hidden="1"/>
    </xf>
    <xf numFmtId="2" fontId="13" fillId="6" borderId="14"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horizontal="center" vertical="center"/>
      <protection hidden="1"/>
    </xf>
    <xf numFmtId="2" fontId="13" fillId="6" borderId="16" xfId="0" applyNumberFormat="1" applyFont="1" applyFill="1" applyBorder="1" applyAlignment="1" applyProtection="1">
      <alignment horizontal="center" vertical="center"/>
      <protection hidden="1"/>
    </xf>
    <xf numFmtId="2" fontId="7" fillId="6" borderId="61" xfId="0" applyNumberFormat="1" applyFont="1" applyFill="1" applyBorder="1" applyAlignment="1" applyProtection="1">
      <alignment horizontal="center" vertical="center"/>
      <protection hidden="1"/>
    </xf>
    <xf numFmtId="2" fontId="7" fillId="6" borderId="69"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2" fontId="8" fillId="6" borderId="10" xfId="0" applyNumberFormat="1" applyFont="1" applyFill="1" applyBorder="1" applyAlignment="1" applyProtection="1">
      <alignment horizontal="center" vertical="center"/>
      <protection hidden="1"/>
    </xf>
    <xf numFmtId="2" fontId="8" fillId="6" borderId="11" xfId="0" applyNumberFormat="1" applyFont="1" applyFill="1" applyBorder="1" applyAlignment="1" applyProtection="1">
      <alignment horizontal="center" vertical="center"/>
      <protection hidden="1"/>
    </xf>
    <xf numFmtId="0" fontId="4" fillId="17" borderId="8" xfId="0" applyFont="1" applyFill="1" applyBorder="1" applyAlignment="1" applyProtection="1">
      <alignment horizontal="center" vertical="center" wrapText="1"/>
      <protection hidden="1"/>
    </xf>
    <xf numFmtId="2" fontId="28" fillId="3" borderId="22" xfId="0" applyNumberFormat="1" applyFont="1" applyFill="1" applyBorder="1" applyAlignment="1" applyProtection="1">
      <alignment horizontal="center" vertical="center"/>
      <protection hidden="1"/>
    </xf>
    <xf numFmtId="2" fontId="28" fillId="3" borderId="32" xfId="0" applyNumberFormat="1" applyFont="1" applyFill="1" applyBorder="1" applyAlignment="1" applyProtection="1">
      <alignment horizontal="center" vertical="center"/>
      <protection hidden="1"/>
    </xf>
    <xf numFmtId="2" fontId="28" fillId="3" borderId="23"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protection hidden="1"/>
    </xf>
    <xf numFmtId="2" fontId="14" fillId="8" borderId="16" xfId="0" applyNumberFormat="1" applyFont="1" applyFill="1" applyBorder="1" applyAlignment="1" applyProtection="1">
      <alignment horizontal="center" vertical="center"/>
      <protection hidden="1"/>
    </xf>
    <xf numFmtId="2" fontId="28" fillId="3" borderId="24" xfId="0" applyNumberFormat="1" applyFont="1" applyFill="1" applyBorder="1" applyAlignment="1" applyProtection="1">
      <alignment horizontal="center" vertical="center"/>
      <protection hidden="1"/>
    </xf>
    <xf numFmtId="2" fontId="28" fillId="3" borderId="0" xfId="0" applyNumberFormat="1" applyFont="1" applyFill="1" applyBorder="1" applyAlignment="1" applyProtection="1">
      <alignment horizontal="center" vertical="center"/>
      <protection hidden="1"/>
    </xf>
    <xf numFmtId="2" fontId="28" fillId="3" borderId="39" xfId="0" applyNumberFormat="1" applyFont="1" applyFill="1" applyBorder="1" applyAlignment="1" applyProtection="1">
      <alignment horizontal="center" vertical="center"/>
      <protection hidden="1"/>
    </xf>
    <xf numFmtId="2" fontId="14" fillId="8" borderId="14" xfId="0" applyNumberFormat="1" applyFont="1" applyFill="1" applyBorder="1" applyAlignment="1" applyProtection="1">
      <alignment horizontal="center" vertical="center" wrapText="1"/>
      <protection hidden="1"/>
    </xf>
    <xf numFmtId="2" fontId="14" fillId="8" borderId="15" xfId="0" applyNumberFormat="1" applyFont="1" applyFill="1" applyBorder="1" applyAlignment="1" applyProtection="1">
      <alignment horizontal="center" vertical="center" wrapText="1"/>
      <protection hidden="1"/>
    </xf>
    <xf numFmtId="2" fontId="14" fillId="8" borderId="16" xfId="0" applyNumberFormat="1" applyFont="1" applyFill="1" applyBorder="1" applyAlignment="1" applyProtection="1">
      <alignment horizontal="center" vertical="center" wrapText="1"/>
      <protection hidden="1"/>
    </xf>
    <xf numFmtId="2" fontId="13" fillId="9" borderId="14" xfId="0" applyNumberFormat="1" applyFont="1" applyFill="1" applyBorder="1" applyAlignment="1" applyProtection="1">
      <alignment horizontal="left" vertical="center" wrapText="1"/>
      <protection hidden="1"/>
    </xf>
    <xf numFmtId="2" fontId="13" fillId="9" borderId="16" xfId="0" applyNumberFormat="1" applyFont="1" applyFill="1" applyBorder="1" applyAlignment="1" applyProtection="1">
      <alignment horizontal="left" vertical="center" wrapText="1"/>
      <protection hidden="1"/>
    </xf>
    <xf numFmtId="2" fontId="13" fillId="6" borderId="62" xfId="0" applyNumberFormat="1" applyFont="1" applyFill="1" applyBorder="1" applyAlignment="1" applyProtection="1">
      <alignment horizontal="left" vertical="center" wrapText="1"/>
      <protection hidden="1"/>
    </xf>
    <xf numFmtId="2" fontId="13" fillId="6" borderId="75" xfId="0" applyNumberFormat="1" applyFont="1" applyFill="1" applyBorder="1" applyAlignment="1" applyProtection="1">
      <alignment horizontal="left" vertical="center" wrapText="1"/>
      <protection hidden="1"/>
    </xf>
    <xf numFmtId="2" fontId="13" fillId="6" borderId="67" xfId="0" applyNumberFormat="1" applyFont="1" applyFill="1" applyBorder="1" applyAlignment="1" applyProtection="1">
      <alignment horizontal="left" vertical="center" wrapText="1"/>
      <protection hidden="1"/>
    </xf>
    <xf numFmtId="2" fontId="13" fillId="6" borderId="63" xfId="0" applyNumberFormat="1" applyFont="1" applyFill="1" applyBorder="1" applyAlignment="1" applyProtection="1">
      <alignment horizontal="left" vertical="center" wrapText="1"/>
      <protection hidden="1"/>
    </xf>
    <xf numFmtId="2" fontId="13" fillId="6" borderId="19" xfId="0" applyNumberFormat="1" applyFont="1" applyFill="1" applyBorder="1" applyAlignment="1" applyProtection="1">
      <alignment horizontal="left" vertical="center" wrapText="1"/>
      <protection hidden="1"/>
    </xf>
    <xf numFmtId="2" fontId="13" fillId="6" borderId="28" xfId="0" applyNumberFormat="1" applyFont="1" applyFill="1" applyBorder="1" applyAlignment="1" applyProtection="1">
      <alignment horizontal="left" vertical="center" wrapText="1"/>
      <protection hidden="1"/>
    </xf>
    <xf numFmtId="2" fontId="13" fillId="6" borderId="74" xfId="0" applyNumberFormat="1" applyFont="1" applyFill="1" applyBorder="1" applyAlignment="1" applyProtection="1">
      <alignment horizontal="left" vertical="center" wrapText="1"/>
      <protection hidden="1"/>
    </xf>
    <xf numFmtId="2" fontId="13" fillId="6" borderId="64" xfId="0" applyNumberFormat="1" applyFont="1" applyFill="1" applyBorder="1" applyAlignment="1" applyProtection="1">
      <alignment horizontal="left" vertical="center" wrapText="1"/>
      <protection hidden="1"/>
    </xf>
    <xf numFmtId="2" fontId="13" fillId="6" borderId="61" xfId="0" applyNumberFormat="1" applyFont="1" applyFill="1" applyBorder="1" applyAlignment="1" applyProtection="1">
      <alignment horizontal="left" vertical="center" wrapText="1"/>
      <protection hidden="1"/>
    </xf>
    <xf numFmtId="2" fontId="30" fillId="8" borderId="14" xfId="0" applyNumberFormat="1" applyFont="1" applyFill="1" applyBorder="1" applyAlignment="1" applyProtection="1">
      <alignment horizontal="center" vertical="center"/>
      <protection hidden="1"/>
    </xf>
    <xf numFmtId="2" fontId="30" fillId="8" borderId="15" xfId="0" applyNumberFormat="1" applyFont="1" applyFill="1" applyBorder="1" applyAlignment="1" applyProtection="1">
      <alignment horizontal="center" vertical="center"/>
      <protection hidden="1"/>
    </xf>
    <xf numFmtId="2" fontId="30" fillId="8" borderId="16" xfId="0" applyNumberFormat="1" applyFont="1" applyFill="1" applyBorder="1" applyAlignment="1" applyProtection="1">
      <alignment horizontal="center" vertical="center"/>
      <protection hidden="1"/>
    </xf>
    <xf numFmtId="2" fontId="18" fillId="6" borderId="60" xfId="0" applyNumberFormat="1" applyFont="1" applyFill="1" applyBorder="1" applyAlignment="1" applyProtection="1">
      <alignment horizontal="center" vertical="center" wrapText="1"/>
      <protection hidden="1"/>
    </xf>
    <xf numFmtId="2" fontId="18" fillId="6" borderId="51" xfId="0" applyNumberFormat="1" applyFont="1" applyFill="1" applyBorder="1" applyAlignment="1" applyProtection="1">
      <alignment horizontal="center" vertical="center" wrapText="1"/>
      <protection hidden="1"/>
    </xf>
    <xf numFmtId="2" fontId="21" fillId="3" borderId="14" xfId="0" applyNumberFormat="1" applyFont="1" applyFill="1" applyBorder="1" applyAlignment="1" applyProtection="1">
      <alignment horizontal="center" vertical="center"/>
      <protection hidden="1"/>
    </xf>
    <xf numFmtId="2" fontId="21" fillId="3" borderId="15"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center" vertical="center" wrapText="1"/>
      <protection locked="0" hidden="1"/>
    </xf>
    <xf numFmtId="2" fontId="7" fillId="2" borderId="32" xfId="0" applyNumberFormat="1" applyFont="1" applyFill="1" applyBorder="1" applyAlignment="1" applyProtection="1">
      <alignment horizontal="center" vertical="center" wrapText="1"/>
      <protection locked="0" hidden="1"/>
    </xf>
    <xf numFmtId="2" fontId="7" fillId="2" borderId="23" xfId="0" applyNumberFormat="1" applyFont="1" applyFill="1" applyBorder="1" applyAlignment="1" applyProtection="1">
      <alignment horizontal="center" vertical="center" wrapText="1"/>
      <protection locked="0" hidden="1"/>
    </xf>
    <xf numFmtId="2" fontId="7" fillId="2" borderId="24" xfId="0" applyNumberFormat="1" applyFont="1" applyFill="1" applyBorder="1" applyAlignment="1" applyProtection="1">
      <alignment horizontal="center" vertical="center" wrapText="1"/>
      <protection locked="0" hidden="1"/>
    </xf>
    <xf numFmtId="2" fontId="7" fillId="2" borderId="0" xfId="0" applyNumberFormat="1" applyFont="1" applyFill="1" applyBorder="1" applyAlignment="1" applyProtection="1">
      <alignment horizontal="center" vertical="center" wrapText="1"/>
      <protection locked="0" hidden="1"/>
    </xf>
    <xf numFmtId="2" fontId="7" fillId="2" borderId="39" xfId="0" applyNumberFormat="1" applyFont="1" applyFill="1" applyBorder="1" applyAlignment="1" applyProtection="1">
      <alignment horizontal="center" vertical="center" wrapText="1"/>
      <protection locked="0" hidden="1"/>
    </xf>
    <xf numFmtId="2" fontId="7" fillId="2" borderId="21" xfId="0" applyNumberFormat="1" applyFont="1" applyFill="1" applyBorder="1" applyAlignment="1" applyProtection="1">
      <alignment horizontal="center" vertical="center" wrapText="1"/>
      <protection locked="0" hidden="1"/>
    </xf>
    <xf numFmtId="2" fontId="7" fillId="2" borderId="41" xfId="0" applyNumberFormat="1" applyFont="1" applyFill="1" applyBorder="1" applyAlignment="1" applyProtection="1">
      <alignment horizontal="center" vertical="center" wrapText="1"/>
      <protection locked="0" hidden="1"/>
    </xf>
    <xf numFmtId="2" fontId="7" fillId="2" borderId="6" xfId="0" applyNumberFormat="1" applyFont="1" applyFill="1" applyBorder="1" applyAlignment="1" applyProtection="1">
      <alignment horizontal="center" vertical="center" wrapText="1"/>
      <protection locked="0" hidden="1"/>
    </xf>
    <xf numFmtId="2" fontId="8" fillId="6" borderId="64"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8" xfId="2" applyNumberFormat="1" applyFont="1" applyFill="1" applyBorder="1" applyAlignment="1" applyProtection="1">
      <alignment horizontal="center" vertical="center"/>
      <protection hidden="1"/>
    </xf>
    <xf numFmtId="2" fontId="7" fillId="9" borderId="38" xfId="0" applyNumberFormat="1" applyFont="1" applyFill="1" applyBorder="1" applyAlignment="1" applyProtection="1">
      <alignment horizontal="center" vertical="center"/>
      <protection hidden="1"/>
    </xf>
    <xf numFmtId="2" fontId="7" fillId="9" borderId="69"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40"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5" fillId="14" borderId="34" xfId="3" applyBorder="1" applyAlignment="1" applyProtection="1">
      <alignment horizontal="center" vertical="center"/>
      <protection locked="0" hidden="1"/>
    </xf>
    <xf numFmtId="2" fontId="5" fillId="14" borderId="35" xfId="3"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2"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43"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28" fillId="3" borderId="21" xfId="0" applyNumberFormat="1" applyFont="1" applyFill="1" applyBorder="1" applyAlignment="1" applyProtection="1">
      <alignment horizontal="center" vertical="center"/>
      <protection hidden="1"/>
    </xf>
    <xf numFmtId="2" fontId="28" fillId="3" borderId="41" xfId="0" applyNumberFormat="1" applyFont="1" applyFill="1" applyBorder="1" applyAlignment="1" applyProtection="1">
      <alignment horizontal="center" vertical="center"/>
      <protection hidden="1"/>
    </xf>
    <xf numFmtId="2" fontId="28" fillId="3" borderId="6" xfId="0" applyNumberFormat="1" applyFont="1" applyFill="1" applyBorder="1" applyAlignment="1" applyProtection="1">
      <alignment horizontal="center" vertical="center"/>
      <protection hidden="1"/>
    </xf>
    <xf numFmtId="2" fontId="39" fillId="6" borderId="7" xfId="0" applyNumberFormat="1" applyFont="1" applyFill="1" applyBorder="1" applyAlignment="1" applyProtection="1">
      <alignment horizontal="left" vertical="center" wrapText="1"/>
      <protection hidden="1"/>
    </xf>
    <xf numFmtId="2" fontId="39" fillId="6" borderId="8" xfId="0" applyNumberFormat="1" applyFont="1" applyFill="1" applyBorder="1" applyAlignment="1" applyProtection="1">
      <alignment horizontal="left" vertical="center" wrapText="1"/>
      <protection hidden="1"/>
    </xf>
    <xf numFmtId="2" fontId="8" fillId="6" borderId="63"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8" fillId="6" borderId="63"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63" xfId="0"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75"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0" fontId="9" fillId="6" borderId="61" xfId="0" applyFont="1" applyFill="1" applyBorder="1" applyAlignment="1" applyProtection="1">
      <alignment horizontal="center"/>
      <protection hidden="1"/>
    </xf>
    <xf numFmtId="0" fontId="9" fillId="6" borderId="75"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7" fillId="6" borderId="61" xfId="0" applyNumberFormat="1" applyFont="1" applyFill="1" applyBorder="1" applyAlignment="1" applyProtection="1">
      <alignment horizontal="center"/>
      <protection hidden="1"/>
    </xf>
    <xf numFmtId="2" fontId="7" fillId="6" borderId="69"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6" borderId="64" xfId="0" applyNumberFormat="1" applyFont="1" applyFill="1" applyBorder="1" applyAlignment="1" applyProtection="1">
      <alignment horizontal="center" vertical="center" wrapText="1"/>
      <protection hidden="1"/>
    </xf>
    <xf numFmtId="2" fontId="13" fillId="6" borderId="61"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left" vertical="center" wrapText="1"/>
      <protection hidden="1"/>
    </xf>
    <xf numFmtId="2" fontId="13" fillId="6" borderId="0" xfId="0" applyNumberFormat="1" applyFont="1" applyFill="1" applyBorder="1" applyAlignment="1" applyProtection="1">
      <alignment horizontal="left" vertical="center" wrapText="1"/>
      <protection hidden="1"/>
    </xf>
    <xf numFmtId="2" fontId="7" fillId="6" borderId="75" xfId="0" applyNumberFormat="1" applyFont="1" applyFill="1" applyBorder="1" applyAlignment="1" applyProtection="1">
      <alignment horizontal="center"/>
      <protection hidden="1"/>
    </xf>
    <xf numFmtId="2" fontId="7" fillId="6" borderId="67" xfId="0" applyNumberFormat="1" applyFont="1" applyFill="1" applyBorder="1" applyAlignment="1" applyProtection="1">
      <alignment horizontal="center"/>
      <protection hidden="1"/>
    </xf>
    <xf numFmtId="2" fontId="13" fillId="12" borderId="7" xfId="0" applyNumberFormat="1" applyFont="1" applyFill="1" applyBorder="1" applyAlignment="1" applyProtection="1">
      <alignment horizontal="center" vertical="center"/>
      <protection hidden="1"/>
    </xf>
    <xf numFmtId="2" fontId="13" fillId="12" borderId="8" xfId="0" applyNumberFormat="1" applyFont="1" applyFill="1" applyBorder="1" applyAlignment="1" applyProtection="1">
      <alignment horizontal="center" vertical="center"/>
      <protection hidden="1"/>
    </xf>
    <xf numFmtId="2" fontId="13" fillId="12" borderId="12" xfId="0" applyNumberFormat="1" applyFont="1" applyFill="1" applyBorder="1" applyAlignment="1" applyProtection="1">
      <alignment horizontal="center" vertical="center"/>
      <protection hidden="1"/>
    </xf>
    <xf numFmtId="2" fontId="7" fillId="14" borderId="14" xfId="3" applyFont="1" applyBorder="1" applyAlignment="1" applyProtection="1">
      <alignment horizontal="center" vertical="center" wrapText="1"/>
      <protection locked="0" hidden="1"/>
    </xf>
    <xf numFmtId="2" fontId="7" fillId="14" borderId="16" xfId="3" applyFont="1" applyBorder="1" applyAlignment="1" applyProtection="1">
      <alignment horizontal="center" vertical="center" wrapText="1"/>
      <protection locked="0" hidden="1"/>
    </xf>
    <xf numFmtId="2" fontId="14" fillId="3" borderId="14" xfId="0" applyNumberFormat="1" applyFont="1" applyFill="1" applyBorder="1" applyAlignment="1" applyProtection="1">
      <alignment horizontal="center" vertical="center"/>
      <protection hidden="1"/>
    </xf>
    <xf numFmtId="2" fontId="14" fillId="3" borderId="15" xfId="0" applyNumberFormat="1" applyFont="1" applyFill="1" applyBorder="1" applyAlignment="1" applyProtection="1">
      <alignment horizontal="center" vertical="center"/>
      <protection hidden="1"/>
    </xf>
    <xf numFmtId="2" fontId="7" fillId="6" borderId="2" xfId="0" applyNumberFormat="1" applyFont="1" applyFill="1" applyBorder="1" applyAlignment="1" applyProtection="1">
      <alignment horizontal="center"/>
      <protection hidden="1"/>
    </xf>
    <xf numFmtId="2" fontId="7" fillId="6" borderId="3" xfId="0" applyNumberFormat="1" applyFont="1" applyFill="1" applyBorder="1" applyAlignment="1" applyProtection="1">
      <alignment horizontal="center"/>
      <protection hidden="1"/>
    </xf>
    <xf numFmtId="0" fontId="53" fillId="8" borderId="14" xfId="0" applyFont="1" applyFill="1" applyBorder="1" applyAlignment="1" applyProtection="1">
      <alignment horizontal="center" vertical="center" wrapText="1"/>
      <protection hidden="1"/>
    </xf>
    <xf numFmtId="0" fontId="53" fillId="8" borderId="15" xfId="0" applyFont="1" applyFill="1" applyBorder="1" applyAlignment="1" applyProtection="1">
      <alignment horizontal="center" vertical="center" wrapText="1"/>
      <protection hidden="1"/>
    </xf>
    <xf numFmtId="0" fontId="53" fillId="8" borderId="16" xfId="0" applyFont="1" applyFill="1" applyBorder="1" applyAlignment="1" applyProtection="1">
      <alignment horizontal="center" vertical="center" wrapText="1"/>
      <protection hidden="1"/>
    </xf>
    <xf numFmtId="1" fontId="5" fillId="14" borderId="34" xfId="3" applyNumberFormat="1" applyFont="1" applyBorder="1" applyAlignment="1" applyProtection="1">
      <alignment horizontal="center" vertical="center" wrapText="1"/>
      <protection locked="0" hidden="1"/>
    </xf>
    <xf numFmtId="1" fontId="5" fillId="14" borderId="35" xfId="3" applyNumberFormat="1" applyFont="1" applyBorder="1" applyAlignment="1" applyProtection="1">
      <alignment horizontal="center" vertical="center" wrapText="1"/>
      <protection locked="0" hidden="1"/>
    </xf>
    <xf numFmtId="2" fontId="7" fillId="0" borderId="22" xfId="0" applyNumberFormat="1" applyFont="1" applyBorder="1" applyAlignment="1" applyProtection="1">
      <alignment horizontal="center"/>
      <protection hidden="1"/>
    </xf>
    <xf numFmtId="2" fontId="7" fillId="0" borderId="23" xfId="0" applyNumberFormat="1" applyFont="1" applyBorder="1" applyAlignment="1" applyProtection="1">
      <alignment horizontal="center"/>
      <protection hidden="1"/>
    </xf>
    <xf numFmtId="2" fontId="7" fillId="0" borderId="24" xfId="0" applyNumberFormat="1" applyFont="1" applyBorder="1" applyAlignment="1" applyProtection="1">
      <alignment horizontal="center"/>
      <protection hidden="1"/>
    </xf>
    <xf numFmtId="2" fontId="7" fillId="0" borderId="39" xfId="0" applyNumberFormat="1" applyFont="1" applyBorder="1" applyAlignment="1" applyProtection="1">
      <alignment horizontal="center"/>
      <protection hidden="1"/>
    </xf>
    <xf numFmtId="2" fontId="7" fillId="0" borderId="21" xfId="0" applyNumberFormat="1" applyFont="1" applyBorder="1" applyAlignment="1" applyProtection="1">
      <alignment horizontal="center"/>
      <protection hidden="1"/>
    </xf>
    <xf numFmtId="2" fontId="7" fillId="0" borderId="6" xfId="0" applyNumberFormat="1" applyFont="1" applyBorder="1" applyAlignment="1" applyProtection="1">
      <alignment horizontal="center"/>
      <protection hidden="1"/>
    </xf>
    <xf numFmtId="2" fontId="9" fillId="6" borderId="59" xfId="0" applyNumberFormat="1" applyFont="1" applyFill="1" applyBorder="1" applyAlignment="1" applyProtection="1">
      <alignment horizontal="center" vertical="center"/>
      <protection hidden="1"/>
    </xf>
    <xf numFmtId="2" fontId="9" fillId="6" borderId="52" xfId="0" applyNumberFormat="1" applyFont="1" applyFill="1" applyBorder="1" applyAlignment="1" applyProtection="1">
      <alignment horizontal="center" vertical="center"/>
      <protection hidden="1"/>
    </xf>
    <xf numFmtId="2" fontId="9" fillId="6" borderId="60" xfId="0"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5" xfId="0" applyNumberFormat="1" applyFont="1" applyFill="1" applyBorder="1" applyAlignment="1" applyProtection="1">
      <alignment horizontal="center" vertical="center"/>
      <protection hidden="1"/>
    </xf>
    <xf numFmtId="2" fontId="7" fillId="9" borderId="40"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5"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7" fillId="9" borderId="2" xfId="0" applyNumberFormat="1" applyFont="1" applyFill="1" applyBorder="1" applyAlignment="1" applyProtection="1">
      <alignment horizontal="center" vertical="center"/>
      <protection hidden="1"/>
    </xf>
    <xf numFmtId="2" fontId="7" fillId="9" borderId="68" xfId="0" applyNumberFormat="1" applyFont="1" applyFill="1" applyBorder="1" applyAlignment="1" applyProtection="1">
      <alignment horizontal="center" vertical="center"/>
      <protection hidden="1"/>
    </xf>
    <xf numFmtId="168" fontId="7" fillId="9" borderId="2" xfId="0" applyNumberFormat="1" applyFont="1" applyFill="1" applyBorder="1" applyAlignment="1" applyProtection="1">
      <alignment horizontal="center" vertical="center"/>
      <protection hidden="1"/>
    </xf>
    <xf numFmtId="168" fontId="7" fillId="9" borderId="68" xfId="0" applyNumberFormat="1" applyFont="1" applyFill="1" applyBorder="1" applyAlignment="1" applyProtection="1">
      <alignment horizontal="center" vertical="center"/>
      <protection hidden="1"/>
    </xf>
    <xf numFmtId="0" fontId="10" fillId="3" borderId="22" xfId="0"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hidden="1"/>
    </xf>
    <xf numFmtId="0" fontId="10"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36" fillId="3" borderId="7" xfId="0" applyFont="1" applyFill="1" applyBorder="1" applyAlignment="1" applyProtection="1">
      <alignment horizontal="center" vertical="center" wrapText="1"/>
      <protection hidden="1"/>
    </xf>
    <xf numFmtId="0" fontId="36" fillId="3" borderId="8" xfId="0"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protection locked="0" hidden="1"/>
    </xf>
    <xf numFmtId="2" fontId="8" fillId="6" borderId="1" xfId="2" applyNumberFormat="1" applyFont="1" applyFill="1" applyBorder="1" applyAlignment="1" applyProtection="1">
      <alignment horizontal="center" vertical="center"/>
      <protection locked="0" hidden="1"/>
    </xf>
    <xf numFmtId="0" fontId="6" fillId="0" borderId="0" xfId="0" applyFont="1" applyAlignment="1" applyProtection="1">
      <alignment horizontal="center" vertical="center" wrapText="1"/>
      <protection hidden="1"/>
    </xf>
    <xf numFmtId="14" fontId="6" fillId="2" borderId="0" xfId="0" applyNumberFormat="1" applyFont="1" applyFill="1" applyAlignment="1" applyProtection="1">
      <alignment horizontal="left" vertical="center" wrapText="1"/>
      <protection hidden="1"/>
    </xf>
    <xf numFmtId="0" fontId="52" fillId="2" borderId="0" xfId="0" applyFont="1" applyFill="1" applyAlignment="1" applyProtection="1">
      <alignment horizontal="justify" vertical="center" wrapText="1"/>
      <protection locked="0" hidden="1"/>
    </xf>
    <xf numFmtId="0" fontId="52" fillId="2" borderId="0" xfId="0" applyFont="1" applyFill="1" applyAlignment="1" applyProtection="1">
      <alignment horizontal="justify" vertical="justify" wrapText="1"/>
      <protection locked="0" hidden="1"/>
    </xf>
    <xf numFmtId="0" fontId="54" fillId="0" borderId="0" xfId="0" applyFont="1" applyAlignment="1" applyProtection="1">
      <alignment horizontal="left" vertical="center" wrapText="1"/>
      <protection hidden="1"/>
    </xf>
    <xf numFmtId="0" fontId="4" fillId="0" borderId="14"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0" borderId="16" xfId="0" applyFont="1" applyBorder="1" applyAlignment="1" applyProtection="1">
      <alignment horizontal="center" vertical="center" wrapText="1"/>
      <protection hidden="1"/>
    </xf>
    <xf numFmtId="0" fontId="52" fillId="2" borderId="0" xfId="0" applyFont="1" applyFill="1" applyBorder="1" applyAlignment="1" applyProtection="1">
      <alignment horizontal="justify" vertical="justify" wrapText="1"/>
      <protection locked="0" hidden="1"/>
    </xf>
    <xf numFmtId="2" fontId="54" fillId="2" borderId="0" xfId="0" applyNumberFormat="1" applyFont="1" applyFill="1" applyAlignment="1" applyProtection="1">
      <alignment horizontal="right" vertical="center"/>
      <protection hidden="1"/>
    </xf>
    <xf numFmtId="0" fontId="52" fillId="2" borderId="0" xfId="0" applyFont="1" applyFill="1" applyBorder="1" applyAlignment="1" applyProtection="1">
      <alignment horizontal="justify" vertical="center" wrapText="1"/>
      <protection locked="0" hidden="1"/>
    </xf>
    <xf numFmtId="0" fontId="6" fillId="2" borderId="0" xfId="0" applyFont="1" applyFill="1" applyAlignment="1" applyProtection="1">
      <alignment horizontal="justify" vertical="center" wrapText="1"/>
      <protection locked="0" hidden="1"/>
    </xf>
    <xf numFmtId="0" fontId="54" fillId="2" borderId="0" xfId="0" applyFont="1" applyFill="1" applyBorder="1" applyAlignment="1" applyProtection="1">
      <alignment horizontal="left" vertical="center" wrapText="1"/>
      <protection hidden="1"/>
    </xf>
    <xf numFmtId="0" fontId="13" fillId="2" borderId="9"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54" fillId="0" borderId="22"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4" fillId="0" borderId="14" xfId="0"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6" xfId="0" applyFont="1" applyBorder="1" applyAlignment="1" applyProtection="1">
      <alignment horizontal="center"/>
      <protection hidden="1"/>
    </xf>
    <xf numFmtId="0" fontId="6" fillId="0" borderId="0" xfId="0" applyFont="1" applyAlignment="1" applyProtection="1">
      <alignment horizontal="left" vertical="top" wrapText="1"/>
      <protection hidden="1"/>
    </xf>
    <xf numFmtId="0" fontId="6" fillId="0" borderId="0" xfId="0" applyFont="1" applyBorder="1" applyAlignment="1" applyProtection="1">
      <alignment horizontal="justify" vertical="justify" wrapText="1"/>
      <protection locked="0" hidden="1"/>
    </xf>
    <xf numFmtId="0" fontId="6" fillId="0" borderId="24"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0" xfId="0" applyFont="1" applyAlignment="1" applyProtection="1">
      <alignment horizontal="center"/>
      <protection hidden="1"/>
    </xf>
    <xf numFmtId="0" fontId="52" fillId="2" borderId="0" xfId="0" applyFont="1" applyFill="1" applyAlignment="1" applyProtection="1">
      <alignment horizontal="justify" vertical="center" wrapText="1"/>
      <protection hidden="1"/>
    </xf>
    <xf numFmtId="0" fontId="58" fillId="0" borderId="0" xfId="0" applyFont="1" applyBorder="1" applyAlignment="1" applyProtection="1">
      <alignment horizontal="center" vertical="center" wrapText="1"/>
      <protection hidden="1"/>
    </xf>
    <xf numFmtId="0" fontId="6" fillId="0" borderId="0" xfId="0" applyFont="1" applyBorder="1" applyAlignment="1" applyProtection="1">
      <alignment horizontal="center"/>
      <protection hidden="1"/>
    </xf>
    <xf numFmtId="0" fontId="54" fillId="0" borderId="0" xfId="0" applyFont="1" applyAlignment="1" applyProtection="1">
      <alignment horizontal="center" vertical="center" wrapText="1"/>
      <protection hidden="1"/>
    </xf>
    <xf numFmtId="0" fontId="54" fillId="2" borderId="0" xfId="0" applyFont="1" applyFill="1" applyAlignment="1" applyProtection="1">
      <alignment horizontal="left" vertical="center" wrapText="1"/>
      <protection hidden="1"/>
    </xf>
    <xf numFmtId="0" fontId="52" fillId="2" borderId="14" xfId="0" applyFont="1" applyFill="1" applyBorder="1" applyAlignment="1" applyProtection="1">
      <alignment horizontal="left" vertical="center" wrapText="1"/>
      <protection hidden="1"/>
    </xf>
    <xf numFmtId="0" fontId="52" fillId="2" borderId="16" xfId="0" applyFont="1" applyFill="1" applyBorder="1" applyAlignment="1" applyProtection="1">
      <alignment horizontal="left" vertical="center" wrapText="1"/>
      <protection hidden="1"/>
    </xf>
    <xf numFmtId="0" fontId="54" fillId="2" borderId="14" xfId="0" applyFont="1" applyFill="1" applyBorder="1" applyAlignment="1" applyProtection="1">
      <alignment horizontal="left" vertical="center" wrapText="1"/>
      <protection hidden="1"/>
    </xf>
    <xf numFmtId="0" fontId="54" fillId="2" borderId="16" xfId="0" applyFont="1" applyFill="1" applyBorder="1" applyAlignment="1" applyProtection="1">
      <alignment horizontal="left" vertical="center" wrapText="1"/>
      <protection hidden="1"/>
    </xf>
    <xf numFmtId="0" fontId="54" fillId="0" borderId="0" xfId="0" applyFont="1" applyFill="1" applyBorder="1" applyAlignment="1" applyProtection="1">
      <alignment horizontal="left" vertical="center" wrapText="1"/>
      <protection hidden="1"/>
    </xf>
    <xf numFmtId="0" fontId="55" fillId="2" borderId="0" xfId="0" applyFont="1" applyFill="1" applyAlignment="1" applyProtection="1">
      <alignment horizontal="left" vertical="center" wrapText="1"/>
      <protection hidden="1"/>
    </xf>
    <xf numFmtId="0" fontId="54" fillId="0" borderId="14" xfId="0" applyFont="1" applyBorder="1" applyAlignment="1" applyProtection="1">
      <alignment horizontal="left" vertical="center" wrapText="1"/>
      <protection hidden="1"/>
    </xf>
    <xf numFmtId="0" fontId="54" fillId="0" borderId="16" xfId="0" applyFont="1" applyBorder="1" applyAlignment="1" applyProtection="1">
      <alignment horizontal="left" vertical="center" wrapText="1"/>
      <protection hidden="1"/>
    </xf>
    <xf numFmtId="0" fontId="54" fillId="2" borderId="21" xfId="0" applyFont="1" applyFill="1" applyBorder="1" applyAlignment="1" applyProtection="1">
      <alignment horizontal="left" vertical="center" wrapText="1"/>
      <protection hidden="1"/>
    </xf>
    <xf numFmtId="0" fontId="54" fillId="2" borderId="6" xfId="0" applyFont="1" applyFill="1" applyBorder="1" applyAlignment="1" applyProtection="1">
      <alignment horizontal="left" vertical="center" wrapText="1"/>
      <protection hidden="1"/>
    </xf>
    <xf numFmtId="2" fontId="6" fillId="0" borderId="14" xfId="0" applyNumberFormat="1" applyFont="1" applyBorder="1" applyAlignment="1" applyProtection="1">
      <alignment horizontal="left" vertical="center" wrapText="1"/>
      <protection hidden="1"/>
    </xf>
    <xf numFmtId="2" fontId="6" fillId="0" borderId="16" xfId="0" applyNumberFormat="1" applyFont="1" applyBorder="1" applyAlignment="1" applyProtection="1">
      <alignment horizontal="left" vertical="center" wrapText="1"/>
      <protection hidden="1"/>
    </xf>
    <xf numFmtId="1" fontId="6" fillId="2" borderId="14" xfId="0" applyNumberFormat="1" applyFont="1" applyFill="1" applyBorder="1" applyAlignment="1" applyProtection="1">
      <alignment horizontal="left" vertical="center" wrapText="1"/>
      <protection hidden="1"/>
    </xf>
    <xf numFmtId="1" fontId="6" fillId="2" borderId="16" xfId="0" applyNumberFormat="1" applyFont="1" applyFill="1" applyBorder="1" applyAlignment="1" applyProtection="1">
      <alignment horizontal="left" vertical="center" wrapText="1"/>
      <protection hidden="1"/>
    </xf>
    <xf numFmtId="168" fontId="6" fillId="2" borderId="14" xfId="0" applyNumberFormat="1" applyFont="1" applyFill="1" applyBorder="1" applyAlignment="1" applyProtection="1">
      <alignment horizontal="left" vertical="center" wrapText="1"/>
      <protection hidden="1"/>
    </xf>
    <xf numFmtId="168" fontId="6" fillId="2" borderId="16" xfId="0" applyNumberFormat="1" applyFont="1" applyFill="1" applyBorder="1" applyAlignment="1" applyProtection="1">
      <alignment horizontal="left" vertical="center" wrapText="1"/>
      <protection hidden="1"/>
    </xf>
    <xf numFmtId="0" fontId="52" fillId="0" borderId="0" xfId="0" applyFont="1" applyBorder="1" applyAlignment="1" applyProtection="1">
      <alignment horizontal="justify" vertical="center" wrapText="1"/>
      <protection locked="0" hidden="1"/>
    </xf>
    <xf numFmtId="0" fontId="6" fillId="2" borderId="0"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vertical="center" wrapText="1"/>
      <protection hidden="1"/>
    </xf>
    <xf numFmtId="0" fontId="6" fillId="2" borderId="0" xfId="0" applyFont="1" applyFill="1" applyBorder="1" applyAlignment="1" applyProtection="1">
      <alignment horizontal="left" vertical="top" wrapText="1"/>
      <protection hidden="1"/>
    </xf>
    <xf numFmtId="14" fontId="6" fillId="2" borderId="0" xfId="0" applyNumberFormat="1" applyFont="1" applyFill="1" applyBorder="1" applyAlignment="1" applyProtection="1">
      <alignment horizontal="justify" vertical="center" wrapText="1"/>
      <protection hidden="1"/>
    </xf>
    <xf numFmtId="0" fontId="6" fillId="2" borderId="0" xfId="0" applyFont="1" applyFill="1" applyBorder="1" applyAlignment="1" applyProtection="1">
      <alignment horizontal="justify" vertical="center" wrapText="1"/>
      <protection hidden="1"/>
    </xf>
    <xf numFmtId="14" fontId="6" fillId="2" borderId="0" xfId="0" applyNumberFormat="1" applyFont="1" applyFill="1" applyBorder="1" applyAlignment="1" applyProtection="1">
      <alignment horizontal="left" vertical="center" wrapText="1"/>
      <protection hidden="1"/>
    </xf>
    <xf numFmtId="0" fontId="21" fillId="2" borderId="0" xfId="0" applyFont="1" applyFill="1" applyAlignment="1">
      <alignment horizontal="justify" vertical="center" wrapText="1"/>
    </xf>
    <xf numFmtId="0" fontId="52" fillId="0" borderId="0" xfId="0" applyFont="1" applyFill="1" applyAlignment="1" applyProtection="1">
      <alignment horizontal="justify" vertical="center" wrapText="1"/>
      <protection locked="0" hidden="1"/>
    </xf>
    <xf numFmtId="0" fontId="6" fillId="0" borderId="0" xfId="0" applyFont="1" applyAlignment="1" applyProtection="1">
      <alignment horizontal="center" vertical="justify" wrapText="1"/>
      <protection hidden="1"/>
    </xf>
    <xf numFmtId="0" fontId="52" fillId="2" borderId="0" xfId="0" applyFont="1" applyFill="1" applyBorder="1" applyAlignment="1" applyProtection="1">
      <alignment horizontal="left" vertical="center" wrapText="1"/>
      <protection locked="0" hidden="1"/>
    </xf>
    <xf numFmtId="2" fontId="6" fillId="0" borderId="0" xfId="0" applyNumberFormat="1" applyFont="1" applyBorder="1" applyAlignment="1" applyProtection="1">
      <alignment horizontal="left" vertical="center" wrapText="1"/>
      <protection hidden="1"/>
    </xf>
    <xf numFmtId="0" fontId="29" fillId="0" borderId="0" xfId="0" applyFont="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32" fillId="0" borderId="0" xfId="0" applyFont="1" applyAlignment="1" applyProtection="1">
      <alignment horizontal="justify" vertical="center" wrapText="1"/>
      <protection locked="0" hidden="1"/>
    </xf>
    <xf numFmtId="0" fontId="32" fillId="0" borderId="0" xfId="0" applyFont="1" applyBorder="1" applyAlignment="1" applyProtection="1">
      <alignment horizontal="center"/>
      <protection hidden="1"/>
    </xf>
    <xf numFmtId="0" fontId="32" fillId="0" borderId="0" xfId="0" applyFont="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9" fillId="20" borderId="0" xfId="0" applyFont="1" applyFill="1" applyBorder="1" applyAlignment="1" applyProtection="1">
      <alignment horizontal="left" vertical="center" wrapText="1"/>
      <protection hidden="1"/>
    </xf>
    <xf numFmtId="0" fontId="52" fillId="2" borderId="0" xfId="0" applyFont="1" applyFill="1" applyBorder="1" applyAlignment="1" applyProtection="1">
      <alignment horizontal="justify" vertical="center" wrapText="1"/>
      <protection hidden="1"/>
    </xf>
    <xf numFmtId="0" fontId="52" fillId="0" borderId="0" xfId="0" applyFont="1" applyBorder="1" applyAlignment="1" applyProtection="1">
      <alignment horizontal="justify" vertical="justify" wrapText="1"/>
      <protection hidden="1"/>
    </xf>
    <xf numFmtId="0" fontId="32" fillId="0" borderId="24" xfId="0" applyFont="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2" fontId="29" fillId="2" borderId="0" xfId="0" applyNumberFormat="1" applyFont="1" applyFill="1" applyAlignment="1" applyProtection="1">
      <alignment horizontal="right" vertical="center"/>
      <protection hidden="1"/>
    </xf>
    <xf numFmtId="0" fontId="32" fillId="0" borderId="0" xfId="0" applyFont="1" applyAlignment="1" applyProtection="1">
      <alignment horizontal="left" vertical="top" wrapText="1"/>
      <protection hidden="1"/>
    </xf>
    <xf numFmtId="0" fontId="52" fillId="0" borderId="0" xfId="0" applyFont="1" applyAlignment="1" applyProtection="1">
      <alignment horizontal="left" vertical="center" wrapText="1"/>
      <protection hidden="1"/>
    </xf>
    <xf numFmtId="0" fontId="29" fillId="0" borderId="22" xfId="0" applyFont="1" applyBorder="1" applyAlignment="1" applyProtection="1">
      <alignment horizontal="center" vertical="center" wrapText="1"/>
      <protection hidden="1"/>
    </xf>
    <xf numFmtId="0" fontId="32" fillId="0" borderId="32" xfId="0" applyFont="1" applyBorder="1" applyAlignment="1" applyProtection="1">
      <alignment horizontal="center" vertical="center" wrapText="1"/>
      <protection hidden="1"/>
    </xf>
    <xf numFmtId="0" fontId="32" fillId="0" borderId="23" xfId="0" applyFont="1" applyBorder="1" applyAlignment="1" applyProtection="1">
      <alignment horizontal="center" vertical="center" wrapText="1"/>
      <protection hidden="1"/>
    </xf>
    <xf numFmtId="0" fontId="8" fillId="2" borderId="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52" fillId="0" borderId="0" xfId="0" applyFont="1" applyAlignment="1" applyProtection="1">
      <alignment horizontal="justify" vertical="justify" wrapText="1"/>
      <protection hidden="1"/>
    </xf>
    <xf numFmtId="0" fontId="17" fillId="0" borderId="14" xfId="0" applyFont="1" applyBorder="1" applyAlignment="1" applyProtection="1">
      <alignment horizontal="center" vertical="center" wrapText="1"/>
      <protection hidden="1"/>
    </xf>
    <xf numFmtId="0" fontId="17" fillId="0" borderId="15" xfId="0" applyFont="1" applyBorder="1" applyAlignment="1" applyProtection="1">
      <alignment horizontal="center" vertical="center" wrapText="1"/>
      <protection hidden="1"/>
    </xf>
    <xf numFmtId="0" fontId="17" fillId="0" borderId="16" xfId="0" applyFont="1" applyBorder="1" applyAlignment="1" applyProtection="1">
      <alignment horizontal="center" vertical="center" wrapText="1"/>
      <protection hidden="1"/>
    </xf>
    <xf numFmtId="0" fontId="52" fillId="2" borderId="0" xfId="0" applyFont="1" applyFill="1" applyBorder="1" applyAlignment="1" applyProtection="1">
      <alignment horizontal="justify" vertical="justify" wrapText="1"/>
      <protection hidden="1"/>
    </xf>
    <xf numFmtId="0" fontId="17" fillId="0" borderId="14" xfId="0" applyFont="1" applyBorder="1" applyAlignment="1" applyProtection="1">
      <alignment horizontal="center"/>
      <protection hidden="1"/>
    </xf>
    <xf numFmtId="0" fontId="17" fillId="0" borderId="15" xfId="0" applyFont="1" applyBorder="1" applyAlignment="1" applyProtection="1">
      <alignment horizontal="center"/>
      <protection hidden="1"/>
    </xf>
    <xf numFmtId="0" fontId="17" fillId="0" borderId="16" xfId="0" applyFont="1" applyBorder="1" applyAlignment="1" applyProtection="1">
      <alignment horizontal="center"/>
      <protection hidden="1"/>
    </xf>
    <xf numFmtId="0" fontId="52" fillId="0" borderId="0" xfId="0" applyFont="1" applyFill="1" applyAlignment="1" applyProtection="1">
      <alignment horizontal="justify" vertical="center" wrapText="1"/>
      <protection hidden="1"/>
    </xf>
    <xf numFmtId="0" fontId="29" fillId="0" borderId="14" xfId="0" applyFont="1" applyBorder="1" applyAlignment="1" applyProtection="1">
      <alignment horizontal="center" vertical="center" wrapText="1"/>
      <protection hidden="1"/>
    </xf>
    <xf numFmtId="0" fontId="29" fillId="0" borderId="16" xfId="0" applyFont="1" applyBorder="1" applyAlignment="1" applyProtection="1">
      <alignment horizontal="center" vertical="center" wrapText="1"/>
      <protection hidden="1"/>
    </xf>
    <xf numFmtId="2" fontId="32" fillId="0" borderId="14" xfId="0" applyNumberFormat="1" applyFont="1" applyBorder="1" applyAlignment="1" applyProtection="1">
      <alignment horizontal="left" vertical="center" wrapText="1"/>
      <protection hidden="1"/>
    </xf>
    <xf numFmtId="2" fontId="32" fillId="0" borderId="16" xfId="0" applyNumberFormat="1" applyFont="1" applyBorder="1" applyAlignment="1" applyProtection="1">
      <alignment horizontal="left" vertical="center" wrapText="1"/>
      <protection hidden="1"/>
    </xf>
    <xf numFmtId="0" fontId="29" fillId="2" borderId="14" xfId="0" applyFont="1" applyFill="1" applyBorder="1" applyAlignment="1" applyProtection="1">
      <alignment horizontal="center" vertical="center" wrapText="1"/>
      <protection hidden="1"/>
    </xf>
    <xf numFmtId="0" fontId="29" fillId="2" borderId="16" xfId="0" applyFont="1" applyFill="1" applyBorder="1" applyAlignment="1" applyProtection="1">
      <alignment horizontal="center" vertical="center" wrapText="1"/>
      <protection hidden="1"/>
    </xf>
    <xf numFmtId="0" fontId="32" fillId="2" borderId="14" xfId="0" applyFont="1" applyFill="1" applyBorder="1" applyAlignment="1" applyProtection="1">
      <alignment horizontal="left" vertical="center" wrapText="1"/>
      <protection locked="0" hidden="1"/>
    </xf>
    <xf numFmtId="0" fontId="32" fillId="2" borderId="16" xfId="0" applyFont="1" applyFill="1" applyBorder="1" applyAlignment="1" applyProtection="1">
      <alignment horizontal="left" vertical="center" wrapText="1"/>
      <protection locked="0" hidden="1"/>
    </xf>
    <xf numFmtId="1" fontId="32" fillId="2" borderId="14" xfId="0" applyNumberFormat="1" applyFont="1" applyFill="1" applyBorder="1" applyAlignment="1" applyProtection="1">
      <alignment horizontal="left" vertical="center" wrapText="1"/>
      <protection hidden="1"/>
    </xf>
    <xf numFmtId="1" fontId="32" fillId="2" borderId="16" xfId="0" applyNumberFormat="1" applyFont="1" applyFill="1" applyBorder="1" applyAlignment="1" applyProtection="1">
      <alignment horizontal="left" vertical="center" wrapText="1"/>
      <protection hidden="1"/>
    </xf>
    <xf numFmtId="0" fontId="29" fillId="2" borderId="21" xfId="0" applyFont="1" applyFill="1" applyBorder="1" applyAlignment="1" applyProtection="1">
      <alignment horizontal="center" vertical="center" wrapText="1"/>
      <protection hidden="1"/>
    </xf>
    <xf numFmtId="0" fontId="29" fillId="2" borderId="6" xfId="0" applyFont="1" applyFill="1" applyBorder="1" applyAlignment="1" applyProtection="1">
      <alignment horizontal="center" vertical="center" wrapText="1"/>
      <protection hidden="1"/>
    </xf>
    <xf numFmtId="168" fontId="32" fillId="2" borderId="14" xfId="0" applyNumberFormat="1" applyFont="1" applyFill="1" applyBorder="1" applyAlignment="1" applyProtection="1">
      <alignment horizontal="left" vertical="center" wrapText="1"/>
      <protection hidden="1"/>
    </xf>
    <xf numFmtId="168" fontId="32" fillId="2" borderId="16" xfId="0" applyNumberFormat="1" applyFont="1" applyFill="1" applyBorder="1" applyAlignment="1" applyProtection="1">
      <alignment horizontal="left" vertical="center" wrapText="1"/>
      <protection hidden="1"/>
    </xf>
    <xf numFmtId="0" fontId="29" fillId="20" borderId="0" xfId="0" applyFont="1" applyFill="1" applyAlignment="1" applyProtection="1">
      <alignment horizontal="left" vertical="center" wrapText="1"/>
      <protection hidden="1"/>
    </xf>
    <xf numFmtId="14" fontId="32" fillId="0" borderId="0" xfId="0" applyNumberFormat="1" applyFont="1" applyAlignment="1" applyProtection="1">
      <alignment horizontal="left" vertical="center" wrapText="1"/>
      <protection hidden="1"/>
    </xf>
    <xf numFmtId="2" fontId="32" fillId="0" borderId="0" xfId="0" applyNumberFormat="1" applyFont="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48" fillId="20" borderId="0" xfId="0" applyFont="1" applyFill="1" applyAlignment="1" applyProtection="1">
      <alignment horizontal="left" vertical="center" wrapText="1"/>
      <protection hidden="1"/>
    </xf>
    <xf numFmtId="14" fontId="32" fillId="0" borderId="0" xfId="0" applyNumberFormat="1" applyFont="1" applyBorder="1" applyAlignment="1" applyProtection="1">
      <alignment horizontal="left" vertical="center" wrapText="1"/>
      <protection hidden="1"/>
    </xf>
    <xf numFmtId="0" fontId="32" fillId="0" borderId="0" xfId="0" applyFont="1" applyBorder="1" applyAlignment="1" applyProtection="1">
      <alignment horizontal="right" vertical="center" wrapText="1"/>
      <protection hidden="1"/>
    </xf>
    <xf numFmtId="0" fontId="52" fillId="0" borderId="0" xfId="0" applyFont="1" applyBorder="1" applyAlignment="1" applyProtection="1">
      <alignment horizontal="left" vertical="center" wrapText="1"/>
      <protection locked="0" hidden="1"/>
    </xf>
  </cellXfs>
  <cellStyles count="5">
    <cellStyle name="Buena" xfId="2" builtinId="26"/>
    <cellStyle name="Estilo 1" xfId="3"/>
    <cellStyle name="Estilo 2" xfId="4"/>
    <cellStyle name="Normal" xfId="0" builtinId="0"/>
    <cellStyle name="Porcentaje" xfId="1" builtinId="5"/>
  </cellStyles>
  <dxfs count="1">
    <dxf>
      <font>
        <color rgb="FF9C0006"/>
      </font>
      <fill>
        <patternFill>
          <bgColor rgb="FF00B0F0"/>
        </patternFill>
      </fill>
    </dxf>
  </dxfs>
  <tableStyles count="0" defaultTableStyle="TableStyleMedium2" defaultPivotStyle="PivotStyleLight16"/>
  <colors>
    <mruColors>
      <color rgb="FFDDEBF7"/>
      <color rgb="FF8DB4E2"/>
      <color rgb="FF1F4E78"/>
      <color rgb="FFF4B084"/>
      <color rgb="FFB6FD03"/>
      <color rgb="FFC6E0B4"/>
      <color rgb="FFAEAAAA"/>
      <color rgb="FF000000"/>
      <color rgb="FFBDD7EE"/>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'!$F$102:$F$104</c:f>
              <c:numCache>
                <c:formatCode>General</c:formatCode>
                <c:ptCount val="3"/>
                <c:pt idx="0">
                  <c:v>15.4</c:v>
                </c:pt>
                <c:pt idx="1">
                  <c:v>24.7</c:v>
                </c:pt>
                <c:pt idx="2" formatCode="0.0">
                  <c:v>29.4</c:v>
                </c:pt>
              </c:numCache>
            </c:numRef>
          </c:xVal>
          <c:yVal>
            <c:numRef>
              <c:f>'DATOS °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662801824"/>
        <c:axId val="-1662799104"/>
      </c:scatterChart>
      <c:valAx>
        <c:axId val="-166280182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799104"/>
        <c:crosses val="autoZero"/>
        <c:crossBetween val="midCat"/>
      </c:valAx>
      <c:valAx>
        <c:axId val="-166279910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80182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'!$F$134:$F$136</c:f>
              <c:numCache>
                <c:formatCode>General</c:formatCode>
                <c:ptCount val="3"/>
                <c:pt idx="0">
                  <c:v>15.5</c:v>
                </c:pt>
                <c:pt idx="1">
                  <c:v>24.6</c:v>
                </c:pt>
                <c:pt idx="2" formatCode="0.0">
                  <c:v>29.2</c:v>
                </c:pt>
              </c:numCache>
            </c:numRef>
          </c:xVal>
          <c:yVal>
            <c:numRef>
              <c:f>'DATOS °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545085808"/>
        <c:axId val="-1545079824"/>
      </c:scatterChart>
      <c:valAx>
        <c:axId val="-1545085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79824"/>
        <c:crosses val="autoZero"/>
        <c:crossBetween val="midCat"/>
      </c:valAx>
      <c:valAx>
        <c:axId val="-154507982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85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'!$F$137:$F$139</c:f>
              <c:numCache>
                <c:formatCode>General</c:formatCode>
                <c:ptCount val="3"/>
                <c:pt idx="0">
                  <c:v>33.6</c:v>
                </c:pt>
                <c:pt idx="1">
                  <c:v>51.2</c:v>
                </c:pt>
                <c:pt idx="2">
                  <c:v>68.5</c:v>
                </c:pt>
              </c:numCache>
            </c:numRef>
          </c:xVal>
          <c:yVal>
            <c:numRef>
              <c:f>'DATOS °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545079280"/>
        <c:axId val="-1545084720"/>
      </c:scatterChart>
      <c:valAx>
        <c:axId val="-15450792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84720"/>
        <c:crosses val="autoZero"/>
        <c:crossBetween val="midCat"/>
      </c:valAx>
      <c:valAx>
        <c:axId val="-15450847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792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'!$F$140:$F$142</c:f>
              <c:numCache>
                <c:formatCode>General</c:formatCode>
                <c:ptCount val="3"/>
                <c:pt idx="0">
                  <c:v>698.3</c:v>
                </c:pt>
                <c:pt idx="1">
                  <c:v>798.4</c:v>
                </c:pt>
                <c:pt idx="2">
                  <c:v>848.7</c:v>
                </c:pt>
              </c:numCache>
            </c:numRef>
          </c:xVal>
          <c:yVal>
            <c:numRef>
              <c:f>'DATOS °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545083088"/>
        <c:axId val="-1545091792"/>
      </c:scatterChart>
      <c:valAx>
        <c:axId val="-154508308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91792"/>
        <c:crosses val="autoZero"/>
        <c:crossBetween val="midCat"/>
      </c:valAx>
      <c:valAx>
        <c:axId val="-15450917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8308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0.0</c:formatCode>
                <c:ptCount val="3"/>
                <c:pt idx="0" formatCode="General">
                  <c:v>15.4</c:v>
                </c:pt>
                <c:pt idx="1">
                  <c:v>24.7</c:v>
                </c:pt>
                <c:pt idx="2">
                  <c:v>29.4</c:v>
                </c:pt>
              </c:numCache>
            </c:numRef>
          </c:xVal>
          <c:yVal>
            <c:numRef>
              <c:f>'DATOS °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545089616"/>
        <c:axId val="-1545078192"/>
      </c:scatterChart>
      <c:valAx>
        <c:axId val="-154508961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78192"/>
        <c:crosses val="autoZero"/>
        <c:crossBetween val="midCat"/>
      </c:valAx>
      <c:valAx>
        <c:axId val="-154507819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8961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'!$F$147:$F$149</c:f>
              <c:numCache>
                <c:formatCode>General</c:formatCode>
                <c:ptCount val="3"/>
                <c:pt idx="0">
                  <c:v>33.6</c:v>
                </c:pt>
                <c:pt idx="1">
                  <c:v>51.2</c:v>
                </c:pt>
                <c:pt idx="2">
                  <c:v>68.3</c:v>
                </c:pt>
              </c:numCache>
            </c:numRef>
          </c:xVal>
          <c:yVal>
            <c:numRef>
              <c:f>'DATOS °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545089072"/>
        <c:axId val="-1545086896"/>
      </c:scatterChart>
      <c:valAx>
        <c:axId val="-15450890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86896"/>
        <c:crosses val="autoZero"/>
        <c:crossBetween val="midCat"/>
      </c:valAx>
      <c:valAx>
        <c:axId val="-15450868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890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'!$F$150:$F$152</c:f>
              <c:numCache>
                <c:formatCode>General</c:formatCode>
                <c:ptCount val="3"/>
                <c:pt idx="0" formatCode="0.0">
                  <c:v>698.2</c:v>
                </c:pt>
                <c:pt idx="1">
                  <c:v>751.8</c:v>
                </c:pt>
                <c:pt idx="2">
                  <c:v>798.4</c:v>
                </c:pt>
              </c:numCache>
            </c:numRef>
          </c:xVal>
          <c:yVal>
            <c:numRef>
              <c:f>'DATOS °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545086352"/>
        <c:axId val="-1940488688"/>
      </c:scatterChart>
      <c:valAx>
        <c:axId val="-15450863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0488688"/>
        <c:crosses val="autoZero"/>
        <c:crossBetween val="midCat"/>
      </c:valAx>
      <c:valAx>
        <c:axId val="-194048868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86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°'!$J$126:$J$130</c:f>
              <c:strCache>
                <c:ptCount val="5"/>
                <c:pt idx="0">
                  <c:v>#N/A</c:v>
                </c:pt>
                <c:pt idx="1">
                  <c:v>#N/A</c:v>
                </c:pt>
                <c:pt idx="2">
                  <c:v>#N/A</c:v>
                </c:pt>
                <c:pt idx="3">
                  <c:v>#N/A</c:v>
                </c:pt>
                <c:pt idx="4">
                  <c:v>#N/A</c:v>
                </c:pt>
              </c:strCache>
            </c:strRef>
          </c:tx>
          <c:spPr>
            <a:ln w="25400" cap="rnd">
              <a:solidFill>
                <a:schemeClr val="accent1"/>
              </a:solidFill>
              <a:bevel/>
            </a:ln>
            <a:effectLst>
              <a:outerShdw blurRad="57150" dist="19050" dir="5400000" algn="ctr" rotWithShape="0">
                <a:srgbClr val="000000">
                  <a:alpha val="63000"/>
                </a:srgbClr>
              </a:outerShdw>
            </a:effectLst>
          </c:spPr>
          <c:marker>
            <c:symbol val="circle"/>
            <c:size val="6"/>
            <c:spPr>
              <a:solidFill>
                <a:schemeClr val="accent2">
                  <a:lumMod val="75000"/>
                </a:schemeClr>
              </a:solidFill>
              <a:ln w="25400" cap="rnd">
                <a:solidFill>
                  <a:schemeClr val="accent1"/>
                </a:solidFill>
                <a:round/>
              </a:ln>
              <a:effectLst>
                <a:outerShdw blurRad="57150" dist="19050" dir="5400000" algn="ctr" rotWithShape="0">
                  <a:srgbClr val="000000">
                    <a:alpha val="63000"/>
                  </a:srgbClr>
                </a:outerShdw>
              </a:effectLst>
            </c:spPr>
          </c:marker>
          <c:trendline>
            <c:spPr>
              <a:ln w="19050" cap="rnd">
                <a:solidFill>
                  <a:schemeClr val="accent1"/>
                </a:solidFill>
                <a:prstDash val="sysDash"/>
              </a:ln>
              <a:effectLst/>
            </c:spPr>
            <c:trendlineType val="linear"/>
            <c:dispRSqr val="1"/>
            <c:dispEq val="1"/>
            <c:trendlineLbl>
              <c:layout>
                <c:manualLayout>
                  <c:x val="-0.3281416995201375"/>
                  <c:y val="-9.1150337562172404E-2"/>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lt1">
                          <a:lumMod val="75000"/>
                        </a:schemeClr>
                      </a:solidFill>
                      <a:latin typeface="Arial Narrow" panose="020B0606020202030204" pitchFamily="34" charset="0"/>
                      <a:ea typeface="+mn-ea"/>
                      <a:cs typeface="+mn-cs"/>
                    </a:defRPr>
                  </a:pPr>
                  <a:endParaRPr lang="es-CO"/>
                </a:p>
              </c:txPr>
            </c:trendlineLbl>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trendline>
            <c:spPr>
              <a:ln w="19050" cap="rnd">
                <a:solidFill>
                  <a:schemeClr val="accent1"/>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°'!$J$126:$J$130</c:f>
              <c:numCache>
                <c:formatCode>0</c:formatCode>
                <c:ptCount val="5"/>
                <c:pt idx="0">
                  <c:v>#N/A</c:v>
                </c:pt>
                <c:pt idx="1">
                  <c:v>#N/A</c:v>
                </c:pt>
                <c:pt idx="2">
                  <c:v>#N/A</c:v>
                </c:pt>
                <c:pt idx="3">
                  <c:v>#N/A</c:v>
                </c:pt>
                <c:pt idx="4">
                  <c:v>#N/A</c:v>
                </c:pt>
              </c:numCache>
            </c:numRef>
          </c:xVal>
          <c:yVal>
            <c:numRef>
              <c:f>'RT03-F12 °'!$K$126:$K$130</c:f>
              <c:numCache>
                <c:formatCode>0</c:formatCode>
                <c:ptCount val="5"/>
                <c:pt idx="0">
                  <c:v>#N/A</c:v>
                </c:pt>
                <c:pt idx="1">
                  <c:v>#N/A</c:v>
                </c:pt>
                <c:pt idx="2">
                  <c:v>#N/A</c:v>
                </c:pt>
                <c:pt idx="3">
                  <c:v>#N/A</c:v>
                </c:pt>
                <c:pt idx="4">
                  <c:v>#N/A</c:v>
                </c:pt>
              </c:numCache>
            </c:numRef>
          </c:yVal>
          <c:smooth val="0"/>
          <c:extLst xmlns:c16r2="http://schemas.microsoft.com/office/drawing/2015/06/chart">
            <c:ext xmlns:c16="http://schemas.microsoft.com/office/drawing/2014/chart" uri="{C3380CC4-5D6E-409C-BE32-E72D297353CC}">
              <c16:uniqueId val="{00000002-BD5C-48CB-9721-F102F978F3F9}"/>
            </c:ext>
          </c:extLst>
        </c:ser>
        <c:dLbls>
          <c:showLegendKey val="0"/>
          <c:showVal val="0"/>
          <c:showCatName val="0"/>
          <c:showSerName val="0"/>
          <c:showPercent val="0"/>
          <c:showBubbleSize val="0"/>
        </c:dLbls>
        <c:axId val="-1940491408"/>
        <c:axId val="-1940487056"/>
      </c:scatterChart>
      <c:valAx>
        <c:axId val="-1940491408"/>
        <c:scaling>
          <c:orientation val="minMax"/>
          <c:max val="9000"/>
          <c:min val="0"/>
        </c:scaling>
        <c:delete val="0"/>
        <c:axPos val="b"/>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cap="none" baseline="0"/>
                  <a:t>CARGA (g)</a:t>
                </a:r>
              </a:p>
            </c:rich>
          </c:tx>
          <c:layout>
            <c:manualLayout>
              <c:xMode val="edge"/>
              <c:yMode val="edge"/>
              <c:x val="0.49284502787607881"/>
              <c:y val="0.82940679881451573"/>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endParaRPr lang="es-CO"/>
            </a:p>
          </c:txPr>
        </c:title>
        <c:numFmt formatCode="0" sourceLinked="1"/>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0487056"/>
        <c:crosses val="autoZero"/>
        <c:crossBetween val="midCat"/>
        <c:majorUnit val="1000"/>
        <c:minorUnit val="10"/>
      </c:valAx>
      <c:valAx>
        <c:axId val="-1940487056"/>
        <c:scaling>
          <c:orientation val="minMax"/>
        </c:scaling>
        <c:delete val="0"/>
        <c:axPos val="l"/>
        <c:title>
          <c:tx>
            <c:rich>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r>
                  <a:rPr lang="es-CO" cap="none" baseline="0"/>
                  <a:t>Incertidumbre   mg                    </a:t>
                </a:r>
              </a:p>
            </c:rich>
          </c:tx>
          <c:layout>
            <c:manualLayout>
              <c:xMode val="edge"/>
              <c:yMode val="edge"/>
              <c:x val="1.2119361627031297E-2"/>
              <c:y val="0.27774061735122496"/>
            </c:manualLayout>
          </c:layout>
          <c:overlay val="0"/>
          <c:spPr>
            <a:noFill/>
            <a:ln>
              <a:noFill/>
            </a:ln>
            <a:effectLst/>
          </c:spPr>
          <c:txPr>
            <a:bodyPr rot="-5400000" spcFirstLastPara="1" vertOverflow="ellipsis" vert="horz" wrap="square" anchor="ctr" anchorCtr="1"/>
            <a:lstStyle/>
            <a:p>
              <a:pPr>
                <a:defRPr sz="900" b="1" i="0" u="none" strike="noStrike" kern="1200" cap="none" baseline="0">
                  <a:solidFill>
                    <a:schemeClr val="lt1">
                      <a:lumMod val="75000"/>
                    </a:schemeClr>
                  </a:solidFill>
                  <a:latin typeface="+mn-lt"/>
                  <a:ea typeface="+mn-ea"/>
                  <a:cs typeface="+mn-cs"/>
                </a:defRPr>
              </a:pPr>
              <a:endParaRPr lang="es-CO"/>
            </a:p>
          </c:txPr>
        </c:title>
        <c:numFmt formatCode="General" sourceLinked="0"/>
        <c:majorTickMark val="out"/>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0491408"/>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EXPANDIDA</a:t>
            </a:r>
          </a:p>
        </c:rich>
      </c:tx>
      <c:layout>
        <c:manualLayout>
          <c:xMode val="edge"/>
          <c:yMode val="edge"/>
          <c:x val="0.31876839783993705"/>
          <c:y val="2.5274730013144849E-2"/>
        </c:manualLayout>
      </c:layout>
      <c:overlay val="0"/>
      <c:spPr>
        <a:noFill/>
        <a:ln>
          <a:noFill/>
        </a:ln>
        <a:effectLst/>
      </c:spPr>
      <c:txPr>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 RT03-F15 °'!$B$102</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a:solidFill>
                        <a:schemeClr val="dk1">
                          <a:lumMod val="35000"/>
                          <a:lumOff val="65000"/>
                        </a:schemeClr>
                      </a:solidFill>
                      <a:round/>
                    </a:ln>
                    <a:effectLst/>
                  </c:spPr>
                </c15:leaderLines>
              </c:ext>
            </c:extLst>
          </c:dLbls>
          <c:errBars>
            <c:errDir val="y"/>
            <c:errBarType val="both"/>
            <c:errValType val="cust"/>
            <c:noEndCap val="0"/>
            <c:plus>
              <c:numRef>
                <c:f>' RT03-F15 °'!$C$103:$C$107</c:f>
                <c:numCache>
                  <c:formatCode>General</c:formatCode>
                  <c:ptCount val="5"/>
                  <c:pt idx="0">
                    <c:v>0</c:v>
                  </c:pt>
                  <c:pt idx="1">
                    <c:v>0</c:v>
                  </c:pt>
                  <c:pt idx="2">
                    <c:v>0</c:v>
                  </c:pt>
                  <c:pt idx="3">
                    <c:v>0</c:v>
                  </c:pt>
                  <c:pt idx="4">
                    <c:v>0</c:v>
                  </c:pt>
                </c:numCache>
              </c:numRef>
            </c:plus>
            <c:minus>
              <c:numRef>
                <c:f>' RT03-F15 °'!$C$103:$C$107</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 RT03-F15 °'!$A$103:$A$107</c:f>
              <c:numCache>
                <c:formatCode>0\ 000.0000</c:formatCode>
                <c:ptCount val="5"/>
                <c:pt idx="0" formatCode="0.00000">
                  <c:v>#N/A</c:v>
                </c:pt>
                <c:pt idx="1">
                  <c:v>#N/A</c:v>
                </c:pt>
                <c:pt idx="2">
                  <c:v>#N/A</c:v>
                </c:pt>
                <c:pt idx="3">
                  <c:v>#N/A</c:v>
                </c:pt>
                <c:pt idx="4">
                  <c:v>#N/A</c:v>
                </c:pt>
              </c:numCache>
            </c:numRef>
          </c:xVal>
          <c:yVal>
            <c:numRef>
              <c:f>' RT03-F15 °'!$B$103:$B$107</c:f>
              <c:numCache>
                <c:formatCode>0.000</c:formatCode>
                <c:ptCount val="5"/>
                <c:pt idx="0">
                  <c:v>0</c:v>
                </c:pt>
                <c:pt idx="1">
                  <c:v>0</c:v>
                </c:pt>
                <c:pt idx="2" formatCode="0.00">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dLblPos val="t"/>
          <c:showLegendKey val="0"/>
          <c:showVal val="1"/>
          <c:showCatName val="0"/>
          <c:showSerName val="0"/>
          <c:showPercent val="0"/>
          <c:showBubbleSize val="0"/>
        </c:dLbls>
        <c:axId val="-1940485968"/>
        <c:axId val="-1940486512"/>
      </c:scatterChart>
      <c:valAx>
        <c:axId val="-1940485968"/>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940486512"/>
        <c:crossesAt val="0"/>
        <c:crossBetween val="midCat"/>
        <c:majorUnit val="1000"/>
        <c:minorUnit val="10"/>
      </c:valAx>
      <c:valAx>
        <c:axId val="-1940486512"/>
        <c:scaling>
          <c:orientation val="minMax"/>
          <c:max val="3"/>
          <c:min val="-3"/>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xPr>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940485968"/>
        <c:crossesAt val="0"/>
        <c:crossBetween val="midCat"/>
        <c:majorUnit val="1"/>
      </c:valAx>
      <c:spPr>
        <a:noFill/>
        <a:ln w="25400">
          <a:noFill/>
        </a:ln>
        <a:effectLst>
          <a:softEdge rad="419100"/>
        </a:effectLst>
      </c:spPr>
    </c:plotArea>
    <c:plotVisOnly val="1"/>
    <c:dispBlanksAs val="gap"/>
    <c:showDLblsOverMax val="0"/>
  </c:chart>
  <c:spPr>
    <a:solidFill>
      <a:schemeClr val="accent2">
        <a:lumMod val="40000"/>
        <a:lumOff val="6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EXPANDIDA</a:t>
            </a:r>
          </a:p>
        </c:rich>
      </c:tx>
      <c:layout>
        <c:manualLayout>
          <c:xMode val="edge"/>
          <c:yMode val="edge"/>
          <c:x val="0.31876839783993705"/>
          <c:y val="2.5274730013144849E-2"/>
        </c:manualLayout>
      </c:layout>
      <c:overlay val="0"/>
      <c:spPr>
        <a:noFill/>
        <a:ln>
          <a:noFill/>
        </a:ln>
        <a:effectLst/>
      </c:spPr>
      <c:txPr>
        <a:bodyPr rot="0" spcFirstLastPara="1" vertOverflow="ellipsis" vert="horz" wrap="square" anchor="ctr" anchorCtr="1"/>
        <a:lstStyle/>
        <a:p>
          <a:pPr>
            <a:defRPr sz="14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autoTitleDeleted val="0"/>
    <c:plotArea>
      <c:layout>
        <c:manualLayout>
          <c:layoutTarget val="inner"/>
          <c:xMode val="edge"/>
          <c:yMode val="edge"/>
          <c:x val="0.16102975995505345"/>
          <c:y val="0.15223223351960843"/>
          <c:w val="0.7767882213169266"/>
          <c:h val="0.7061824505416423"/>
        </c:manualLayout>
      </c:layout>
      <c:scatterChart>
        <c:scatterStyle val="lineMarker"/>
        <c:varyColors val="0"/>
        <c:ser>
          <c:idx val="0"/>
          <c:order val="0"/>
          <c:tx>
            <c:strRef>
              <c:f>'RT03-F39'!$B$104</c:f>
              <c:strCache>
                <c:ptCount val="1"/>
                <c:pt idx="0">
                  <c:v>ERROR (g)</c:v>
                </c:pt>
              </c:strCache>
            </c:strRef>
          </c:tx>
          <c:spPr>
            <a:ln w="9525" cap="flat" cmpd="sng" algn="ctr">
              <a:noFill/>
              <a:prstDash val="sysDot"/>
              <a:round/>
            </a:ln>
            <a:effectLst/>
          </c:spPr>
          <c:marker>
            <c:symbol val="circle"/>
            <c:size val="5"/>
            <c:spPr>
              <a:solidFill>
                <a:srgbClr val="FF0000"/>
              </a:solidFill>
              <a:ln w="9525" cap="flat" cmpd="sng" algn="ctr">
                <a:solidFill>
                  <a:srgbClr val="FF0000"/>
                </a:solidFill>
                <a:round/>
              </a:ln>
              <a:effectLst/>
            </c:spPr>
          </c:marker>
          <c:errBars>
            <c:errDir val="y"/>
            <c:errBarType val="both"/>
            <c:errValType val="cust"/>
            <c:noEndCap val="0"/>
            <c:plus>
              <c:numRef>
                <c:f>'RT03-F39'!$C$105:$C$109</c:f>
                <c:numCache>
                  <c:formatCode>General</c:formatCode>
                  <c:ptCount val="5"/>
                  <c:pt idx="0">
                    <c:v>0</c:v>
                  </c:pt>
                  <c:pt idx="1">
                    <c:v>0</c:v>
                  </c:pt>
                  <c:pt idx="2">
                    <c:v>0</c:v>
                  </c:pt>
                  <c:pt idx="3">
                    <c:v>0</c:v>
                  </c:pt>
                  <c:pt idx="4">
                    <c:v>0</c:v>
                  </c:pt>
                </c:numCache>
              </c:numRef>
            </c:plus>
            <c:minus>
              <c:numRef>
                <c:f>'RT03-F39'!$C$105:$C$109</c:f>
                <c:numCache>
                  <c:formatCode>General</c:formatCode>
                  <c:ptCount val="5"/>
                  <c:pt idx="0">
                    <c:v>0</c:v>
                  </c:pt>
                  <c:pt idx="1">
                    <c:v>0</c:v>
                  </c:pt>
                  <c:pt idx="2">
                    <c:v>0</c:v>
                  </c:pt>
                  <c:pt idx="3">
                    <c:v>0</c:v>
                  </c:pt>
                  <c:pt idx="4">
                    <c:v>0</c:v>
                  </c:pt>
                </c:numCache>
              </c:numRef>
            </c:minus>
            <c:spPr>
              <a:noFill/>
              <a:ln w="19050" cap="rnd">
                <a:solidFill>
                  <a:schemeClr val="tx1">
                    <a:alpha val="95000"/>
                  </a:schemeClr>
                </a:solidFill>
                <a:round/>
              </a:ln>
              <a:effectLst/>
            </c:spPr>
          </c:errBars>
          <c:errBars>
            <c:errDir val="x"/>
            <c:errBarType val="both"/>
            <c:errValType val="fixedVal"/>
            <c:noEndCap val="0"/>
            <c:val val="1"/>
            <c:spPr>
              <a:noFill/>
              <a:ln w="9525" cap="rnd">
                <a:solidFill>
                  <a:schemeClr val="dk1">
                    <a:lumMod val="65000"/>
                    <a:lumOff val="35000"/>
                  </a:schemeClr>
                </a:solidFill>
                <a:round/>
              </a:ln>
              <a:effectLst/>
            </c:spPr>
          </c:errBars>
          <c:xVal>
            <c:numRef>
              <c:f>'RT03-F39'!$A$105:$A$109</c:f>
              <c:numCache>
                <c:formatCode>0.0000</c:formatCode>
                <c:ptCount val="5"/>
                <c:pt idx="0" formatCode="0.00000">
                  <c:v>#N/A</c:v>
                </c:pt>
                <c:pt idx="1">
                  <c:v>#N/A</c:v>
                </c:pt>
                <c:pt idx="2">
                  <c:v>#N/A</c:v>
                </c:pt>
                <c:pt idx="3">
                  <c:v>#N/A</c:v>
                </c:pt>
                <c:pt idx="4">
                  <c:v>#N/A</c:v>
                </c:pt>
              </c:numCache>
            </c:numRef>
          </c:xVal>
          <c:yVal>
            <c:numRef>
              <c:f>'RT03-F39'!$B$105:$B$109</c:f>
              <c:numCache>
                <c:formatCode>0.000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0-595A-45D2-B6C6-E3DBDB9EB406}"/>
            </c:ext>
          </c:extLst>
        </c:ser>
        <c:dLbls>
          <c:showLegendKey val="0"/>
          <c:showVal val="0"/>
          <c:showCatName val="0"/>
          <c:showSerName val="0"/>
          <c:showPercent val="0"/>
          <c:showBubbleSize val="0"/>
        </c:dLbls>
        <c:axId val="-1667689568"/>
        <c:axId val="-1667690112"/>
      </c:scatterChart>
      <c:valAx>
        <c:axId val="-1667689568"/>
        <c:scaling>
          <c:orientation val="minMax"/>
          <c:max val="9000"/>
          <c:min val="-1000"/>
        </c:scaling>
        <c:delete val="0"/>
        <c:axPos val="b"/>
        <c:title>
          <c:tx>
            <c:rich>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Carga ( g )</a:t>
                </a:r>
              </a:p>
            </c:rich>
          </c:tx>
          <c:layout>
            <c:manualLayout>
              <c:xMode val="edge"/>
              <c:yMode val="edge"/>
              <c:x val="0.43942835078333037"/>
              <c:y val="0.92715940113938089"/>
            </c:manualLayout>
          </c:layout>
          <c:overlay val="0"/>
          <c:spPr>
            <a:noFill/>
            <a:ln>
              <a:noFill/>
            </a:ln>
            <a:effectLst/>
          </c:spPr>
          <c:txPr>
            <a:bodyPr rot="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 sourceLinked="0"/>
        <c:majorTickMark val="none"/>
        <c:minorTickMark val="none"/>
        <c:tickLblPos val="low"/>
        <c:spPr>
          <a:solidFill>
            <a:schemeClr val="bg2"/>
          </a:solidFill>
          <a:ln w="25400" cap="rnd">
            <a:solidFill>
              <a:schemeClr val="accent1">
                <a:lumMod val="75000"/>
              </a:schemeClr>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667690112"/>
        <c:crossesAt val="0"/>
        <c:crossBetween val="midCat"/>
        <c:majorUnit val="1000"/>
        <c:minorUnit val="10"/>
      </c:valAx>
      <c:valAx>
        <c:axId val="-1667690112"/>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0" cap="none" spc="0">
                    <a:ln w="0"/>
                    <a:solidFill>
                      <a:schemeClr val="tx1"/>
                    </a:solidFill>
                    <a:effectLst>
                      <a:outerShdw blurRad="38100" dist="19050" dir="2700000" algn="tl" rotWithShape="0">
                        <a:schemeClr val="dk1">
                          <a:alpha val="40000"/>
                        </a:schemeClr>
                      </a:outerShdw>
                    </a:effectLst>
                  </a:rPr>
                  <a:t>Error e Incertidumbre ( g )</a:t>
                </a:r>
              </a:p>
            </c:rich>
          </c:tx>
          <c:layout>
            <c:manualLayout>
              <c:xMode val="edge"/>
              <c:yMode val="edge"/>
              <c:x val="8.6280109763693213E-2"/>
              <c:y val="0.19738182500596288"/>
            </c:manualLayout>
          </c:layout>
          <c:overlay val="0"/>
          <c:spPr>
            <a:noFill/>
            <a:ln>
              <a:noFill/>
            </a:ln>
            <a:effectLst/>
          </c:spPr>
          <c:txPr>
            <a:bodyPr rot="-54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title>
        <c:numFmt formatCode="#,##0.00" sourceLinked="0"/>
        <c:majorTickMark val="none"/>
        <c:minorTickMark val="none"/>
        <c:tickLblPos val="nextTo"/>
        <c:spPr>
          <a:noFill/>
          <a:ln w="12700" cap="rnd">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667689568"/>
        <c:crossesAt val="0"/>
        <c:crossBetween val="midCat"/>
      </c:valAx>
      <c:spPr>
        <a:noFill/>
        <a:ln w="25400">
          <a:noFill/>
        </a:ln>
        <a:effectLst>
          <a:softEdge rad="419100"/>
        </a:effectLst>
      </c:spPr>
    </c:plotArea>
    <c:plotVisOnly val="1"/>
    <c:dispBlanksAs val="gap"/>
    <c:showDLblsOverMax val="0"/>
  </c:chart>
  <c:spPr>
    <a:solidFill>
      <a:schemeClr val="accent2">
        <a:lumMod val="40000"/>
        <a:lumOff val="60000"/>
      </a:schemeClr>
    </a:solidFill>
    <a:ln w="28575" cap="flat" cmpd="sng" algn="ctr">
      <a:solidFill>
        <a:schemeClr val="tx1"/>
      </a:solidFill>
      <a:round/>
    </a:ln>
    <a:effectLst/>
  </c:spPr>
  <c:txPr>
    <a:bodyPr/>
    <a:lstStyle/>
    <a:p>
      <a:pPr>
        <a:defRPr/>
      </a:pPr>
      <a:endParaRPr lang="es-CO"/>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'!$F$105:$F$107</c:f>
              <c:numCache>
                <c:formatCode>0.0</c:formatCode>
                <c:ptCount val="3"/>
                <c:pt idx="0" formatCode="General">
                  <c:v>33.200000000000003</c:v>
                </c:pt>
                <c:pt idx="1">
                  <c:v>51.2</c:v>
                </c:pt>
                <c:pt idx="2" formatCode="General">
                  <c:v>77.2</c:v>
                </c:pt>
              </c:numCache>
            </c:numRef>
          </c:xVal>
          <c:yVal>
            <c:numRef>
              <c:f>'DATOS °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662807264"/>
        <c:axId val="-1662794208"/>
      </c:scatterChart>
      <c:valAx>
        <c:axId val="-16628072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794208"/>
        <c:crosses val="autoZero"/>
        <c:crossBetween val="midCat"/>
      </c:valAx>
      <c:valAx>
        <c:axId val="-16627942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8072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'!$F$108:$F$110</c:f>
              <c:numCache>
                <c:formatCode>General</c:formatCode>
                <c:ptCount val="3"/>
                <c:pt idx="0">
                  <c:v>698.2</c:v>
                </c:pt>
                <c:pt idx="1">
                  <c:v>798.4</c:v>
                </c:pt>
                <c:pt idx="2" formatCode="0.0">
                  <c:v>848.7</c:v>
                </c:pt>
              </c:numCache>
            </c:numRef>
          </c:xVal>
          <c:yVal>
            <c:numRef>
              <c:f>'DATOS °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662799648"/>
        <c:axId val="-1662804544"/>
      </c:scatterChart>
      <c:valAx>
        <c:axId val="-16627996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804544"/>
        <c:crosses val="autoZero"/>
        <c:crossBetween val="midCat"/>
      </c:valAx>
      <c:valAx>
        <c:axId val="-16628045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7996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formatCode="0.0">
                  <c:v>15.5</c:v>
                </c:pt>
                <c:pt idx="1">
                  <c:v>24.6</c:v>
                </c:pt>
                <c:pt idx="2">
                  <c:v>33.9</c:v>
                </c:pt>
              </c:numCache>
            </c:numRef>
          </c:xVal>
          <c:yVal>
            <c:numRef>
              <c:f>'DATOS °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662795840"/>
        <c:axId val="-1662807808"/>
      </c:scatterChart>
      <c:valAx>
        <c:axId val="-166279584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807808"/>
        <c:crosses val="autoZero"/>
        <c:crossBetween val="midCat"/>
      </c:valAx>
      <c:valAx>
        <c:axId val="-16628078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79584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c:v>32.700000000000003</c:v>
                </c:pt>
                <c:pt idx="1">
                  <c:v>50.7</c:v>
                </c:pt>
                <c:pt idx="2">
                  <c:v>68.099999999999994</c:v>
                </c:pt>
              </c:numCache>
            </c:numRef>
          </c:xVal>
          <c:yVal>
            <c:numRef>
              <c:f>'DATOS °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662806720"/>
        <c:axId val="-1662795296"/>
      </c:scatterChart>
      <c:valAx>
        <c:axId val="-166280672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795296"/>
        <c:crosses val="autoZero"/>
        <c:crossBetween val="midCat"/>
      </c:valAx>
      <c:valAx>
        <c:axId val="-1662795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80672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'!$F$119:$F$121</c:f>
              <c:numCache>
                <c:formatCode>General</c:formatCode>
                <c:ptCount val="3"/>
                <c:pt idx="0" formatCode="0.0">
                  <c:v>397.5</c:v>
                </c:pt>
                <c:pt idx="1">
                  <c:v>798.5</c:v>
                </c:pt>
                <c:pt idx="2">
                  <c:v>1099.5999999999999</c:v>
                </c:pt>
              </c:numCache>
            </c:numRef>
          </c:xVal>
          <c:yVal>
            <c:numRef>
              <c:f>'DATOS °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662794752"/>
        <c:axId val="-1662793664"/>
      </c:scatterChart>
      <c:valAx>
        <c:axId val="-16627947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793664"/>
        <c:crosses val="autoZero"/>
        <c:crossBetween val="midCat"/>
      </c:valAx>
      <c:valAx>
        <c:axId val="-166279366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7947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'!$F$124:$F$126</c:f>
              <c:numCache>
                <c:formatCode>General</c:formatCode>
                <c:ptCount val="3"/>
                <c:pt idx="0" formatCode="0.0">
                  <c:v>15.3</c:v>
                </c:pt>
                <c:pt idx="1">
                  <c:v>24.8</c:v>
                </c:pt>
                <c:pt idx="2">
                  <c:v>29.6</c:v>
                </c:pt>
              </c:numCache>
            </c:numRef>
          </c:xVal>
          <c:yVal>
            <c:numRef>
              <c:f>'DATOS °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662808352"/>
        <c:axId val="-1662806176"/>
      </c:scatterChart>
      <c:valAx>
        <c:axId val="-166280835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806176"/>
        <c:crosses val="autoZero"/>
        <c:crossBetween val="midCat"/>
      </c:valAx>
      <c:valAx>
        <c:axId val="-166280617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80835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%rH</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General</c:formatCode>
                <c:ptCount val="3"/>
                <c:pt idx="0">
                  <c:v>32.299999999999997</c:v>
                </c:pt>
                <c:pt idx="1">
                  <c:v>50.6</c:v>
                </c:pt>
                <c:pt idx="2">
                  <c:v>68.599999999999994</c:v>
                </c:pt>
              </c:numCache>
            </c:numRef>
          </c:xVal>
          <c:yVal>
            <c:numRef>
              <c:f>'DATOS °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662804000"/>
        <c:axId val="-1545081456"/>
      </c:scatterChart>
      <c:valAx>
        <c:axId val="-166280400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81456"/>
        <c:crosses val="autoZero"/>
        <c:crossBetween val="midCat"/>
      </c:valAx>
      <c:valAx>
        <c:axId val="-1545081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66280400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xPr>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endParaRPr lang="es-CO"/>
        </a:p>
      </c:txPr>
    </c:title>
    <c:autoTitleDeleted val="0"/>
    <c:plotArea>
      <c:layout/>
      <c:scatterChart>
        <c:scatterStyle val="lineMarker"/>
        <c:varyColors val="0"/>
        <c:ser>
          <c:idx val="0"/>
          <c:order val="0"/>
          <c:tx>
            <c:strRef>
              <c:f>'DATOS °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General</c:formatCode>
                <c:ptCount val="3"/>
                <c:pt idx="0" formatCode="0.0">
                  <c:v>497.8</c:v>
                </c:pt>
                <c:pt idx="1">
                  <c:v>698.2</c:v>
                </c:pt>
                <c:pt idx="2">
                  <c:v>1098.8</c:v>
                </c:pt>
              </c:numCache>
            </c:numRef>
          </c:xVal>
          <c:yVal>
            <c:numRef>
              <c:f>'DATOS °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545092880"/>
        <c:axId val="-1545087440"/>
      </c:scatterChart>
      <c:valAx>
        <c:axId val="-15450928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87440"/>
        <c:crosses val="autoZero"/>
        <c:crossBetween val="midCat"/>
      </c:valAx>
      <c:valAx>
        <c:axId val="-15450874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5450928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withinLinear" id="14">
  <a:schemeClr val="accent1"/>
</cs:colorStyle>
</file>

<file path=xl/charts/colors18.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chart" Target="../charts/chart16.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7.xml"/><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281745</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0200-000002000000}"/>
                </a:ext>
              </a:extLst>
            </xdr:cNvPr>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panose="02040503050406030204" pitchFamily="18" charset="0"/>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xdr:cNvSpPr txBox="1"/>
          </xdr:nvSpPr>
          <xdr:spPr>
            <a:xfrm>
              <a:off x="2377245" y="25634593"/>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a:t>
              </a:r>
              <a:endParaRPr lang="es-CO" sz="1000" b="1"/>
            </a:p>
          </xdr:txBody>
        </xdr:sp>
      </mc:Fallback>
    </mc:AlternateContent>
    <xdr:clientData/>
  </xdr:oneCellAnchor>
  <xdr:oneCellAnchor>
    <xdr:from>
      <xdr:col>10</xdr:col>
      <xdr:colOff>379344</xdr:colOff>
      <xdr:row>80</xdr:row>
      <xdr:rowOff>192983</xdr:rowOff>
    </xdr:from>
    <xdr:ext cx="65" cy="172227"/>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panose="02040503050406030204" pitchFamily="18" charset="0"/>
                        </a:rPr>
                      </m:ctrlPr>
                    </m:sSubPr>
                    <m:e>
                      <m:d>
                        <m:dPr>
                          <m:begChr m:val="|"/>
                          <m:endChr m:val="|"/>
                          <m:ctrlPr>
                            <a:rPr lang="es-CO" sz="1200" b="1" i="1">
                              <a:solidFill>
                                <a:schemeClr val="tx1"/>
                              </a:solidFill>
                              <a:effectLst/>
                              <a:latin typeface="Cambria Math" panose="02040503050406030204" pitchFamily="18" charset="0"/>
                              <a:ea typeface="+mn-ea"/>
                              <a:cs typeface="+mn-cs"/>
                            </a:rPr>
                          </m:ctrlPr>
                        </m:dPr>
                        <m:e>
                          <m:sSub>
                            <m:sSubPr>
                              <m:ctrlPr>
                                <a:rPr lang="es-CO" sz="1200" b="1" i="1">
                                  <a:solidFill>
                                    <a:schemeClr val="tx1"/>
                                  </a:solidFill>
                                  <a:effectLst/>
                                  <a:latin typeface="Cambria Math" panose="02040503050406030204" pitchFamily="18" charset="0"/>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272761</xdr:colOff>
      <xdr:row>75</xdr:row>
      <xdr:rowOff>19050</xdr:rowOff>
    </xdr:from>
    <xdr:ext cx="2314575"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b="1" i="1">
                            <a:solidFill>
                              <a:schemeClr val="tx1"/>
                            </a:solidFill>
                            <a:effectLst/>
                            <a:latin typeface="Cambria Math" panose="02040503050406030204" pitchFamily="18" charset="0"/>
                            <a:ea typeface="+mn-ea"/>
                            <a:cs typeface="+mn-cs"/>
                          </a:rPr>
                        </m:ctrlPr>
                      </m:sSupPr>
                      <m:e>
                        <m:r>
                          <a:rPr lang="es-CO" sz="1100" b="1" i="1">
                            <a:solidFill>
                              <a:schemeClr val="tx1"/>
                            </a:solidFill>
                            <a:effectLst/>
                            <a:latin typeface="Cambria Math" panose="02040503050406030204" pitchFamily="18" charset="0"/>
                            <a:ea typeface="+mn-ea"/>
                            <a:cs typeface="+mn-cs"/>
                          </a:rPr>
                          <m:t>𝒖</m:t>
                        </m:r>
                      </m:e>
                      <m:sup>
                        <m:r>
                          <a:rPr lang="es-CO" sz="1100" b="1" i="1">
                            <a:solidFill>
                              <a:schemeClr val="tx1"/>
                            </a:solidFill>
                            <a:effectLst/>
                            <a:latin typeface="Cambria Math" panose="02040503050406030204" pitchFamily="18" charset="0"/>
                            <a:ea typeface="+mn-ea"/>
                            <a:cs typeface="+mn-cs"/>
                          </a:rPr>
                          <m:t>𝟐</m:t>
                        </m:r>
                      </m:sup>
                    </m:sSup>
                    <m:d>
                      <m:dPr>
                        <m:ctrlPr>
                          <a:rPr lang="es-CO" sz="1100" b="1" i="1">
                            <a:solidFill>
                              <a:schemeClr val="tx1"/>
                            </a:solidFill>
                            <a:effectLst/>
                            <a:latin typeface="Cambria Math" panose="02040503050406030204" pitchFamily="18" charset="0"/>
                            <a:ea typeface="+mn-ea"/>
                            <a:cs typeface="+mn-cs"/>
                          </a:rPr>
                        </m:ctrlPr>
                      </m:dPr>
                      <m:e>
                        <m:r>
                          <a:rPr lang="es-CO" sz="1100" b="1" i="1">
                            <a:solidFill>
                              <a:schemeClr val="tx1"/>
                            </a:solidFill>
                            <a:effectLst/>
                            <a:latin typeface="Cambria Math" panose="02040503050406030204" pitchFamily="18" charset="0"/>
                            <a:ea typeface="+mn-ea"/>
                            <a:cs typeface="+mn-cs"/>
                          </a:rPr>
                          <m:t>𝑰</m:t>
                        </m:r>
                      </m:e>
                    </m:d>
                    <m:r>
                      <a:rPr lang="es-CO" sz="1100" b="1"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𝑑</m:t>
                            </m:r>
                          </m:e>
                          <m:sup>
                            <m:r>
                              <a:rPr lang="es-CO" sz="1100" i="1">
                                <a:solidFill>
                                  <a:schemeClr val="tx1"/>
                                </a:solidFill>
                                <a:effectLst/>
                                <a:latin typeface="Cambria Math" panose="02040503050406030204" pitchFamily="18" charset="0"/>
                                <a:ea typeface="+mn-ea"/>
                                <a:cs typeface="+mn-cs"/>
                              </a:rPr>
                              <m:t>2</m:t>
                            </m:r>
                          </m:sup>
                        </m:sSup>
                      </m:num>
                      <m:den>
                        <m:r>
                          <a:rPr lang="es-CO" sz="1100" i="1">
                            <a:solidFill>
                              <a:schemeClr val="tx1"/>
                            </a:solidFill>
                            <a:effectLst/>
                            <a:latin typeface="Cambria Math" panose="02040503050406030204" pitchFamily="18" charset="0"/>
                            <a:ea typeface="+mn-ea"/>
                            <a:cs typeface="+mn-cs"/>
                          </a:rPr>
                          <m:t>6</m:t>
                        </m:r>
                      </m:den>
                    </m:f>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𝑠</m:t>
                        </m:r>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𝐼</m:t>
                        </m:r>
                      </m:e>
                    </m:d>
                    <m:r>
                      <a:rPr lang="es-CO" sz="1100" i="1">
                        <a:solidFill>
                          <a:schemeClr val="tx1"/>
                        </a:solidFill>
                        <a:effectLst/>
                        <a:latin typeface="Cambria Math" panose="02040503050406030204" pitchFamily="18" charset="0"/>
                        <a:ea typeface="+mn-ea"/>
                        <a:cs typeface="+mn-cs"/>
                      </a:rPr>
                      <m:t>+ </m:t>
                    </m:r>
                    <m:sSup>
                      <m:sSupPr>
                        <m:ctrlPr>
                          <a:rPr lang="es-CO" sz="1100" i="1">
                            <a:solidFill>
                              <a:schemeClr val="tx1"/>
                            </a:solidFill>
                            <a:effectLst/>
                            <a:latin typeface="Cambria Math" panose="02040503050406030204" pitchFamily="18" charset="0"/>
                            <a:ea typeface="+mn-ea"/>
                            <a:cs typeface="+mn-cs"/>
                          </a:rPr>
                        </m:ctrlPr>
                      </m:sSupPr>
                      <m:e>
                        <m:acc>
                          <m:accPr>
                            <m:chr m:val="̂"/>
                            <m:ctrlPr>
                              <a:rPr lang="es-CO" sz="1100" i="1">
                                <a:solidFill>
                                  <a:schemeClr val="tx1"/>
                                </a:solidFill>
                                <a:effectLst/>
                                <a:latin typeface="Cambria Math" panose="02040503050406030204" pitchFamily="18" charset="0"/>
                                <a:ea typeface="+mn-ea"/>
                                <a:cs typeface="+mn-cs"/>
                              </a:rPr>
                            </m:ctrlPr>
                          </m:accPr>
                          <m:e>
                            <m:r>
                              <a:rPr lang="es-CO" sz="1100" i="1">
                                <a:solidFill>
                                  <a:schemeClr val="tx1"/>
                                </a:solidFill>
                                <a:effectLst/>
                                <a:latin typeface="Cambria Math" panose="02040503050406030204" pitchFamily="18" charset="0"/>
                                <a:ea typeface="+mn-ea"/>
                                <a:cs typeface="+mn-cs"/>
                              </a:rPr>
                              <m:t>𝑤</m:t>
                            </m:r>
                          </m:e>
                        </m:acc>
                      </m:e>
                      <m:sup>
                        <m:r>
                          <a:rPr lang="es-CO" sz="1100" i="1">
                            <a:solidFill>
                              <a:schemeClr val="tx1"/>
                            </a:solidFill>
                            <a:effectLst/>
                            <a:latin typeface="Cambria Math" panose="02040503050406030204" pitchFamily="18" charset="0"/>
                            <a:ea typeface="+mn-ea"/>
                            <a:cs typeface="+mn-cs"/>
                          </a:rPr>
                          <m:t>2</m:t>
                        </m:r>
                      </m:sup>
                    </m:sSup>
                    <m:d>
                      <m:dPr>
                        <m:ctrlPr>
                          <a:rPr lang="es-CO" sz="1100" i="1">
                            <a:solidFill>
                              <a:schemeClr val="tx1"/>
                            </a:solidFill>
                            <a:effectLst/>
                            <a:latin typeface="Cambria Math" panose="02040503050406030204" pitchFamily="18" charset="0"/>
                            <a:ea typeface="+mn-ea"/>
                            <a:cs typeface="+mn-cs"/>
                          </a:rPr>
                        </m:ctrlPr>
                      </m:dPr>
                      <m:e>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𝐼</m:t>
                            </m:r>
                          </m:e>
                          <m:sub>
                            <m:r>
                              <a:rPr lang="es-CO" sz="1100" i="1">
                                <a:solidFill>
                                  <a:schemeClr val="tx1"/>
                                </a:solidFill>
                                <a:effectLst/>
                                <a:latin typeface="Cambria Math" panose="02040503050406030204" pitchFamily="18" charset="0"/>
                                <a:ea typeface="+mn-ea"/>
                                <a:cs typeface="+mn-cs"/>
                              </a:rPr>
                              <m:t>𝑒𝑐𝑐</m:t>
                            </m:r>
                          </m:sub>
                        </m:sSub>
                      </m:e>
                    </m:d>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𝐼</m:t>
                        </m:r>
                      </m:e>
                      <m:sup>
                        <m:r>
                          <a:rPr lang="es-CO" sz="1100" i="1">
                            <a:solidFill>
                              <a:schemeClr val="tx1"/>
                            </a:solidFill>
                            <a:effectLst/>
                            <a:latin typeface="Cambria Math" panose="02040503050406030204" pitchFamily="18" charset="0"/>
                            <a:ea typeface="+mn-ea"/>
                            <a:cs typeface="+mn-cs"/>
                          </a:rPr>
                          <m:t>2</m:t>
                        </m:r>
                      </m:sup>
                    </m:sSup>
                  </m:oMath>
                </m:oMathPara>
              </a14:m>
              <a:endParaRPr lang="es-CO" sz="1100">
                <a:solidFill>
                  <a:schemeClr val="tx1"/>
                </a:solidFill>
                <a:effectLst/>
                <a:latin typeface="+mn-lt"/>
                <a:ea typeface="+mn-ea"/>
                <a:cs typeface="+mn-cs"/>
              </a:endParaRPr>
            </a:p>
            <a:p>
              <a:pPr algn="ctr"/>
              <a:endParaRPr lang="es-CO" sz="1000" b="1"/>
            </a:p>
          </xdr:txBody>
        </xdr:sp>
      </mc:Choice>
      <mc:Fallback xmlns="">
        <xdr:sp macro="" textlink="">
          <xdr:nvSpPr>
            <xdr:cNvPr id="7" name="CuadroTexto 6"/>
            <xdr:cNvSpPr txBox="1"/>
          </xdr:nvSpPr>
          <xdr:spPr>
            <a:xfrm>
              <a:off x="2177761" y="25527000"/>
              <a:ext cx="2314575"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1" i="0">
                  <a:solidFill>
                    <a:schemeClr val="tx1"/>
                  </a:solidFill>
                  <a:effectLst/>
                  <a:latin typeface="Cambria Math" panose="02040503050406030204" pitchFamily="18" charset="0"/>
                  <a:ea typeface="+mn-ea"/>
                  <a:cs typeface="+mn-cs"/>
                </a:rPr>
                <a:t>𝒖^𝟐 (𝑰)=</a:t>
              </a:r>
              <a:r>
                <a:rPr lang="es-CO" sz="1100" i="0">
                  <a:solidFill>
                    <a:schemeClr val="tx1"/>
                  </a:solidFill>
                  <a:effectLst/>
                  <a:latin typeface="Cambria Math" panose="02040503050406030204" pitchFamily="18" charset="0"/>
                  <a:ea typeface="+mn-ea"/>
                  <a:cs typeface="+mn-cs"/>
                </a:rPr>
                <a:t>𝑑^2/6+𝑠^2 (𝐼)+ 𝑤 ̂^2 (𝛿𝐼_𝑒𝑐𝑐 ) 𝐼^2</a:t>
              </a:r>
              <a:endParaRPr lang="es-CO" sz="110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334242</xdr:colOff>
      <xdr:row>74</xdr:row>
      <xdr:rowOff>37234</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panose="02040503050406030204" pitchFamily="18" charset="0"/>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panose="02040503050406030204" pitchFamily="18" charset="0"/>
                            <a:ea typeface="+mn-ea"/>
                            <a:cs typeface="+mn-cs"/>
                          </a:rPr>
                        </m:ctrlPr>
                      </m:dPr>
                      <m:e>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2 </m:t>
                        </m:r>
                      </m:e>
                    </m:ra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a:solidFill>
                              <a:schemeClr val="tx1"/>
                            </a:solidFill>
                            <a:effectLst/>
                            <a:latin typeface="Cambria Math" panose="02040503050406030204" pitchFamily="18" charset="0"/>
                            <a:ea typeface="+mn-ea"/>
                            <a:cs typeface="+mn-cs"/>
                          </a:rPr>
                          <m:t>6</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xdr:cNvSpPr txBox="1"/>
          </xdr:nvSpPr>
          <xdr:spPr>
            <a:xfrm>
              <a:off x="2239242" y="2514513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𝑑𝑖𝑔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6</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𝑛</m:t>
                        </m:r>
                      </m:e>
                    </m:rad>
                  </m:oMath>
                </m:oMathPara>
              </a14:m>
              <a:endParaRPr lang="es-CO" sz="1100">
                <a:solidFill>
                  <a:schemeClr val="tx1"/>
                </a:solidFill>
                <a:effectLst/>
                <a:latin typeface="+mn-lt"/>
                <a:ea typeface="+mn-ea"/>
                <a:cs typeface="+mn-cs"/>
              </a:endParaRPr>
            </a:p>
          </xdr:txBody>
        </xdr:sp>
      </mc:Choice>
      <mc:Fallback xmlns="">
        <xdr:sp macro="" textlink="">
          <xdr:nvSpPr>
            <xdr:cNvPr id="9" name="CuadroTexto 8"/>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𝑗)⁄</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𝑛</a:t>
              </a:r>
              <a:endParaRPr lang="es-CO" sz="1100">
                <a:solidFill>
                  <a:schemeClr val="tx1"/>
                </a:solidFill>
                <a:effectLst/>
                <a:latin typeface="+mn-lt"/>
                <a:ea typeface="+mn-ea"/>
                <a:cs typeface="+mn-cs"/>
              </a:endParaRPr>
            </a:p>
          </xdr:txBody>
        </xdr:sp>
      </mc:Fallback>
    </mc:AlternateContent>
    <xdr:clientData/>
  </xdr:oneCellAnchor>
  <xdr:oneCellAnchor>
    <xdr:from>
      <xdr:col>2</xdr:col>
      <xdr:colOff>367516</xdr:colOff>
      <xdr:row>80</xdr:row>
      <xdr:rowOff>91540</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xdr:cNvSpPr txBox="1"/>
          </xdr:nvSpPr>
          <xdr:spPr>
            <a:xfrm>
              <a:off x="2463016" y="29183611"/>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𝑢^2 〖(𝑚〗_𝑟𝑒𝑓)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𝑢^2 (</a:t>
              </a:r>
              <a:r>
                <a:rPr lang="es-CO" sz="1100" i="0">
                  <a:solidFill>
                    <a:schemeClr val="tx1"/>
                  </a:solidFill>
                  <a:effectLst/>
                  <a:latin typeface="Cambria Math" panose="02040503050406030204" pitchFamily="18" charset="0"/>
                  <a:ea typeface="+mn-ea"/>
                  <a:cs typeface="+mn-cs"/>
                </a:rPr>
                <a:t>𝛿𝑚_𝐷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77437</xdr:colOff>
      <xdr:row>77</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𝐾</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xdr:cNvSpPr txBox="1"/>
          </xdr:nvSpPr>
          <xdr:spPr>
            <a:xfrm>
              <a:off x="3220687" y="27851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𝑐  )=𝑈/𝐾</a:t>
              </a:r>
              <a:endParaRPr lang="es-CO" sz="1100">
                <a:solidFill>
                  <a:schemeClr val="tx1"/>
                </a:solidFill>
                <a:effectLst/>
                <a:latin typeface="+mn-lt"/>
                <a:ea typeface="+mn-ea"/>
                <a:cs typeface="+mn-cs"/>
              </a:endParaRPr>
            </a:p>
          </xdr:txBody>
        </xdr:sp>
      </mc:Fallback>
    </mc:AlternateContent>
    <xdr:clientData/>
  </xdr:oneCellAnchor>
  <xdr:oneCellAnchor>
    <xdr:from>
      <xdr:col>1</xdr:col>
      <xdr:colOff>129268</xdr:colOff>
      <xdr:row>99</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%−95,45%  ;</m:t>
                    </m:r>
                    <m:sSub>
                      <m:sSubPr>
                        <m:ctrlPr>
                          <a:rPr lang="es-CO" sz="1400" i="1">
                            <a:solidFill>
                              <a:schemeClr val="tx1"/>
                            </a:solidFill>
                            <a:effectLst/>
                            <a:latin typeface="Cambria Math" panose="02040503050406030204" pitchFamily="18" charset="0"/>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xdr:cNvSpPr txBox="1"/>
          </xdr:nvSpPr>
          <xdr:spPr>
            <a:xfrm>
              <a:off x="1177018" y="36943393"/>
              <a:ext cx="4102554"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STUDEND.2C(100%−95,45%  ;</a:t>
              </a:r>
              <a:r>
                <a:rPr lang="es-CO" sz="1400" i="0">
                  <a:solidFill>
                    <a:schemeClr val="tx1"/>
                  </a:solidFill>
                  <a:effectLst/>
                  <a:latin typeface="Cambria Math" panose="02040503050406030204" pitchFamily="18" charset="0"/>
                  <a:ea typeface="+mn-ea"/>
                  <a:cs typeface="+mn-cs"/>
                </a:rPr>
                <a:t>𝑣_(𝑒𝑓𝑓(𝐸))</a:t>
              </a:r>
              <a:endParaRPr lang="es-CO" sz="1200">
                <a:solidFill>
                  <a:schemeClr val="tx1"/>
                </a:solidFill>
                <a:effectLst/>
                <a:latin typeface="+mn-lt"/>
                <a:ea typeface="+mn-ea"/>
                <a:cs typeface="+mn-cs"/>
              </a:endParaRPr>
            </a:p>
          </xdr:txBody>
        </xdr:sp>
      </mc:Fallback>
    </mc:AlternateContent>
    <xdr:clientData/>
  </xdr:oneCellAnchor>
  <xdr:oneCellAnchor>
    <xdr:from>
      <xdr:col>2</xdr:col>
      <xdr:colOff>860096</xdr:colOff>
      <xdr:row>78</xdr:row>
      <xdr:rowOff>39832</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xdr:cNvSpPr txBox="1"/>
          </xdr:nvSpPr>
          <xdr:spPr>
            <a:xfrm>
              <a:off x="2955596" y="28261046"/>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𝐵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3</xdr:col>
      <xdr:colOff>70509</xdr:colOff>
      <xdr:row>79</xdr:row>
      <xdr:rowOff>56655</xdr:rowOff>
    </xdr:from>
    <xdr:ext cx="1866900" cy="333375"/>
    <mc:AlternateContent xmlns:mc="http://schemas.openxmlformats.org/markup-compatibility/2006" xmlns:a14="http://schemas.microsoft.com/office/drawing/2010/main">
      <mc:Choice Requires="a14">
        <xdr:sp macro="" textlink="">
          <xdr:nvSpPr>
            <xdr:cNvPr id="14" name="CuadroTexto 13">
              <a:extLst>
                <a:ext uri="{FF2B5EF4-FFF2-40B4-BE49-F238E27FC236}">
                  <a16:creationId xmlns="" xmlns:a16="http://schemas.microsoft.com/office/drawing/2014/main" id="{00000000-0008-0000-0200-00000E000000}"/>
                </a:ext>
              </a:extLst>
            </xdr:cNvPr>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panose="02040503050406030204" pitchFamily="18" charset="0"/>
                            <a:ea typeface="+mn-ea"/>
                            <a:cs typeface="+mn-cs"/>
                          </a:rPr>
                        </m:ctrlPr>
                      </m:dPr>
                      <m:e>
                        <m:sSub>
                          <m:sSubPr>
                            <m:ctrlPr>
                              <a:rPr lang="es-CO" sz="1100" i="1">
                                <a:solidFill>
                                  <a:schemeClr val="tx1"/>
                                </a:solidFill>
                                <a:effectLst/>
                                <a:latin typeface="Cambria Math" panose="02040503050406030204" pitchFamily="18" charset="0"/>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𝐷</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3</m:t>
                        </m:r>
                      </m:den>
                    </m:f>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panose="02040503050406030204" pitchFamily="18" charset="0"/>
                            <a:ea typeface="+mn-ea"/>
                            <a:cs typeface="+mn-cs"/>
                          </a:rPr>
                        </m:ctrlPr>
                      </m:radPr>
                      <m:deg/>
                      <m:e>
                        <m:r>
                          <a:rPr lang="es-ES" sz="1100" i="1">
                            <a:solidFill>
                              <a:schemeClr val="tx1"/>
                            </a:solidFill>
                            <a:effectLst/>
                            <a:latin typeface="Cambria Math" panose="02040503050406030204" pitchFamily="18" charset="0"/>
                            <a:ea typeface="+mn-ea"/>
                            <a:cs typeface="+mn-cs"/>
                          </a:rPr>
                          <m:t>3</m:t>
                        </m:r>
                      </m:e>
                    </m:rad>
                  </m:oMath>
                </m:oMathPara>
              </a14:m>
              <a:endParaRPr lang="es-CO" sz="1100">
                <a:solidFill>
                  <a:schemeClr val="tx1"/>
                </a:solidFill>
                <a:effectLst/>
                <a:latin typeface="+mn-lt"/>
                <a:ea typeface="+mn-ea"/>
                <a:cs typeface="+mn-cs"/>
              </a:endParaRPr>
            </a:p>
          </xdr:txBody>
        </xdr:sp>
      </mc:Choice>
      <mc:Fallback xmlns="">
        <xdr:sp macro="" textlink="">
          <xdr:nvSpPr>
            <xdr:cNvPr id="14" name="CuadroTexto 13"/>
            <xdr:cNvSpPr txBox="1"/>
          </xdr:nvSpPr>
          <xdr:spPr>
            <a:xfrm>
              <a:off x="3213759" y="28713298"/>
              <a:ext cx="1866900"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panose="02040503050406030204" pitchFamily="18" charset="0"/>
                  <a:ea typeface="+mn-ea"/>
                  <a:cs typeface="+mn-cs"/>
                </a:rPr>
                <a:t>〗_</a:t>
              </a:r>
              <a:r>
                <a:rPr lang="es-ES" sz="1100" i="0">
                  <a:solidFill>
                    <a:schemeClr val="tx1"/>
                  </a:solidFill>
                  <a:effectLst/>
                  <a:latin typeface="Cambria Math" panose="02040503050406030204" pitchFamily="18" charset="0"/>
                  <a:ea typeface="+mn-ea"/>
                  <a:cs typeface="+mn-cs"/>
                </a:rPr>
                <a:t>𝐷  )=𝐸𝑀𝑃</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3=𝑈/</a:t>
              </a:r>
              <a:r>
                <a:rPr lang="es-CO" sz="1100" i="0">
                  <a:solidFill>
                    <a:schemeClr val="tx1"/>
                  </a:solidFill>
                  <a:effectLst/>
                  <a:latin typeface="Cambria Math" panose="02040503050406030204" pitchFamily="18" charset="0"/>
                  <a:ea typeface="+mn-ea"/>
                  <a:cs typeface="+mn-cs"/>
                </a:rPr>
                <a:t>√</a:t>
              </a:r>
              <a:r>
                <a:rPr lang="es-ES" sz="1100" i="0">
                  <a:solidFill>
                    <a:schemeClr val="tx1"/>
                  </a:solidFill>
                  <a:effectLst/>
                  <a:latin typeface="Cambria Math" panose="02040503050406030204" pitchFamily="18" charset="0"/>
                  <a:ea typeface="+mn-ea"/>
                  <a:cs typeface="+mn-cs"/>
                </a:rPr>
                <a:t>3</a:t>
              </a:r>
              <a:endParaRPr lang="es-CO" sz="1100">
                <a:solidFill>
                  <a:schemeClr val="tx1"/>
                </a:solidFill>
                <a:effectLst/>
                <a:latin typeface="+mn-lt"/>
                <a:ea typeface="+mn-ea"/>
                <a:cs typeface="+mn-cs"/>
              </a:endParaRPr>
            </a:p>
          </xdr:txBody>
        </xdr:sp>
      </mc:Fallback>
    </mc:AlternateContent>
    <xdr:clientData/>
  </xdr:oneCellAnchor>
  <xdr:oneCellAnchor>
    <xdr:from>
      <xdr:col>2</xdr:col>
      <xdr:colOff>758611</xdr:colOff>
      <xdr:row>82</xdr:row>
      <xdr:rowOff>85725</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panose="02040503050406030204" pitchFamily="18" charset="0"/>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panose="02040503050406030204" pitchFamily="18" charset="0"/>
                            <a:ea typeface="+mn-ea"/>
                            <a:cs typeface="+mn-cs"/>
                          </a:rPr>
                        </m:ctrlPr>
                      </m:dPr>
                      <m:e>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xdr:cNvSpPr txBox="1"/>
          </xdr:nvSpPr>
          <xdr:spPr>
            <a:xfrm>
              <a:off x="2854111" y="30241875"/>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𝑢^2 (𝐸)=𝑢^2 (𝐼)+ 𝑢^2 (𝑚_𝑟𝑒𝑓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95</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panose="02040503050406030204" pitchFamily="18" charset="0"/>
                                <a:ea typeface="+mn-ea"/>
                                <a:cs typeface="+mn-cs"/>
                              </a:rPr>
                            </m:ctrlPr>
                          </m:fPr>
                          <m:num>
                            <m:sSubSup>
                              <m:sSubSupPr>
                                <m:ctrlPr>
                                  <a:rPr lang="es-CO" sz="1100" i="1">
                                    <a:solidFill>
                                      <a:sysClr val="windowText" lastClr="000000"/>
                                    </a:solidFill>
                                    <a:effectLst/>
                                    <a:latin typeface="Cambria Math" panose="02040503050406030204" pitchFamily="18" charset="0"/>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panose="02040503050406030204" pitchFamily="18" charset="0"/>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93</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panose="02040503050406030204" pitchFamily="18" charset="0"/>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sSub>
                              <m:sSubPr>
                                <m:ctrlPr>
                                  <a:rPr lang="es-CO" sz="1600" i="1">
                                    <a:solidFill>
                                      <a:schemeClr val="tx1"/>
                                    </a:solidFill>
                                    <a:effectLst/>
                                    <a:latin typeface="Cambria Math" panose="02040503050406030204" pitchFamily="18" charset="0"/>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89</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panose="02040503050406030204" pitchFamily="18" charset="0"/>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panose="02040503050406030204" pitchFamily="18" charset="0"/>
                            <a:ea typeface="+mn-ea"/>
                            <a:cs typeface="+mn-cs"/>
                          </a:rPr>
                        </m:ctrlPr>
                      </m:fPr>
                      <m:num>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panose="02040503050406030204" pitchFamily="18" charset="0"/>
                                <a:ea typeface="+mn-ea"/>
                                <a:cs typeface="+mn-cs"/>
                              </a:rPr>
                            </m:ctrlPr>
                          </m:sSupPr>
                          <m:e>
                            <m:f>
                              <m:fPr>
                                <m:ctrlPr>
                                  <a:rPr lang="es-CO" sz="1050" i="1">
                                    <a:solidFill>
                                      <a:schemeClr val="tx1"/>
                                    </a:solidFill>
                                    <a:effectLst/>
                                    <a:latin typeface="Cambria Math" panose="02040503050406030204" pitchFamily="18" charset="0"/>
                                    <a:ea typeface="+mn-ea"/>
                                    <a:cs typeface="+mn-cs"/>
                                  </a:rPr>
                                </m:ctrlPr>
                              </m:fPr>
                              <m:num>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sSub>
                                  <m:sSubPr>
                                    <m:ctrlPr>
                                      <a:rPr lang="es-CO" sz="1050" i="1">
                                        <a:solidFill>
                                          <a:schemeClr val="tx1"/>
                                        </a:solidFill>
                                        <a:effectLst/>
                                        <a:latin typeface="Cambria Math" panose="02040503050406030204" pitchFamily="18" charset="0"/>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3</xdr:col>
      <xdr:colOff>820371</xdr:colOff>
      <xdr:row>103</xdr:row>
      <xdr:rowOff>76200</xdr:rowOff>
    </xdr:from>
    <xdr:ext cx="1198929" cy="301001"/>
    <mc:AlternateContent xmlns:mc="http://schemas.openxmlformats.org/markup-compatibility/2006" xmlns:a14="http://schemas.microsoft.com/office/drawing/2010/main">
      <mc:Choice Requires="a14">
        <xdr:sp macro="" textlink="">
          <xdr:nvSpPr>
            <xdr:cNvPr id="19" name="CuadroTexto 18">
              <a:extLst>
                <a:ext uri="{FF2B5EF4-FFF2-40B4-BE49-F238E27FC236}">
                  <a16:creationId xmlns="" xmlns:a16="http://schemas.microsoft.com/office/drawing/2014/main" id="{00000000-0008-0000-0200-000013000000}"/>
                </a:ext>
              </a:extLst>
            </xdr:cNvPr>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19" name="CuadroTexto 18"/>
            <xdr:cNvSpPr txBox="1"/>
          </xdr:nvSpPr>
          <xdr:spPr>
            <a:xfrm>
              <a:off x="3963621" y="38119050"/>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4</xdr:col>
      <xdr:colOff>63743</xdr:colOff>
      <xdr:row>108</xdr:row>
      <xdr:rowOff>0</xdr:rowOff>
    </xdr:from>
    <xdr:ext cx="1717432" cy="343632"/>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panose="02040503050406030204" pitchFamily="18" charset="0"/>
                          </a:rPr>
                        </m:ctrlPr>
                      </m:radPr>
                      <m:deg/>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rad>
                  </m:oMath>
                </m:oMathPara>
              </a14:m>
              <a:endParaRPr lang="es-CO" sz="1050"/>
            </a:p>
          </xdr:txBody>
        </xdr:sp>
      </mc:Choice>
      <mc:Fallback xmlns="">
        <xdr:sp macro="" textlink="">
          <xdr:nvSpPr>
            <xdr:cNvPr id="20" name="CuadroTexto 19"/>
            <xdr:cNvSpPr txBox="1"/>
          </xdr:nvSpPr>
          <xdr:spPr>
            <a:xfrm>
              <a:off x="4492868" y="42214800"/>
              <a:ext cx="1717432" cy="343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0</xdr:col>
      <xdr:colOff>206953</xdr:colOff>
      <xdr:row>107</xdr:row>
      <xdr:rowOff>396585</xdr:rowOff>
    </xdr:from>
    <xdr:ext cx="561109" cy="39613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panose="02040503050406030204" pitchFamily="18" charset="0"/>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panose="02040503050406030204" pitchFamily="18" charset="0"/>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panose="02040503050406030204" pitchFamily="18" charset="0"/>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xdr:cNvSpPr txBox="1"/>
          </xdr:nvSpPr>
          <xdr:spPr>
            <a:xfrm>
              <a:off x="1092778" y="42211335"/>
              <a:ext cx="561109" cy="396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1</xdr:col>
      <xdr:colOff>179242</xdr:colOff>
      <xdr:row>108</xdr:row>
      <xdr:rowOff>92652</xdr:rowOff>
    </xdr:from>
    <xdr:ext cx="609911" cy="175113"/>
    <mc:AlternateContent xmlns:mc="http://schemas.openxmlformats.org/markup-compatibility/2006" xmlns:a14="http://schemas.microsoft.com/office/drawing/2010/main">
      <mc:Choice Requires="a14">
        <xdr:sp macro="" textlink="">
          <xdr:nvSpPr>
            <xdr:cNvPr id="22" name="CuadroTexto 21">
              <a:extLst>
                <a:ext uri="{FF2B5EF4-FFF2-40B4-BE49-F238E27FC236}">
                  <a16:creationId xmlns="" xmlns:a16="http://schemas.microsoft.com/office/drawing/2014/main" id="{00000000-0008-0000-0200-000016000000}"/>
                </a:ext>
              </a:extLst>
            </xdr:cNvPr>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i="1">
                  <a:latin typeface="Times New Roman" panose="02020603050405020304" pitchFamily="18" charset="0"/>
                  <a:cs typeface="Times New Roman" panose="02020603050405020304" pitchFamily="18" charset="0"/>
                </a:rPr>
                <a:t>  * </a:t>
              </a:r>
              <a14:m>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𝐸</m:t>
                      </m:r>
                    </m:e>
                    <m:sub>
                      <m:acc>
                        <m:accPr>
                          <m:chr m:val="̅"/>
                          <m:ctrlPr>
                            <a:rPr lang="es-CO" sz="1100" i="1">
                              <a:solidFill>
                                <a:schemeClr val="tx1"/>
                              </a:solidFill>
                              <a:effectLst/>
                              <a:latin typeface="Cambria Math" panose="02040503050406030204" pitchFamily="18" charset="0"/>
                              <a:ea typeface="+mn-ea"/>
                              <a:cs typeface="+mn-cs"/>
                            </a:rPr>
                          </m:ctrlPr>
                        </m:accPr>
                        <m:e>
                          <m:r>
                            <a:rPr lang="es-CO" sz="1100" b="0" i="1">
                              <a:solidFill>
                                <a:schemeClr val="tx1"/>
                              </a:solidFill>
                              <a:effectLst/>
                              <a:latin typeface="Cambria Math" panose="02040503050406030204" pitchFamily="18" charset="0"/>
                              <a:ea typeface="+mn-ea"/>
                              <a:cs typeface="+mn-cs"/>
                            </a:rPr>
                            <m:t>𝐼</m:t>
                          </m:r>
                        </m:e>
                      </m:acc>
                    </m:sub>
                  </m:sSub>
                  <m:r>
                    <a:rPr lang="es-CO" sz="1100" i="1">
                      <a:latin typeface="Cambria Math" panose="02040503050406030204" pitchFamily="18" charset="0"/>
                    </a:rPr>
                    <m:t> </m:t>
                  </m:r>
                </m:oMath>
              </a14:m>
              <a:endParaRPr lang="es-CO" sz="1100"/>
            </a:p>
          </xdr:txBody>
        </xdr:sp>
      </mc:Choice>
      <mc:Fallback xmlns="">
        <xdr:sp macro="" textlink="">
          <xdr:nvSpPr>
            <xdr:cNvPr id="22" name="CuadroTexto 21"/>
            <xdr:cNvSpPr txBox="1"/>
          </xdr:nvSpPr>
          <xdr:spPr>
            <a:xfrm>
              <a:off x="1950892" y="42307452"/>
              <a:ext cx="60991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i="1">
                  <a:latin typeface="Times New Roman" panose="02020603050405020304" pitchFamily="18" charset="0"/>
                  <a:cs typeface="Times New Roman" panose="02020603050405020304" pitchFamily="18" charset="0"/>
                </a:rPr>
                <a:t>p * </a:t>
              </a:r>
              <a:r>
                <a:rPr lang="es-CO" sz="1100" b="0" i="0">
                  <a:latin typeface="Cambria Math" panose="02040503050406030204" pitchFamily="18" charset="0"/>
                </a:rPr>
                <a:t>𝐼 ̅</a:t>
              </a:r>
              <a:r>
                <a:rPr lang="es-CO" sz="1100" i="1">
                  <a:latin typeface="Times New Roman" panose="02020603050405020304" pitchFamily="18" charset="0"/>
                  <a:cs typeface="Times New Roman" panose="02020603050405020304" pitchFamily="18" charset="0"/>
                </a:rPr>
                <a:t>  * </a:t>
              </a:r>
              <a:r>
                <a:rPr lang="es-CO" sz="1100" b="0" i="0">
                  <a:solidFill>
                    <a:schemeClr val="tx1"/>
                  </a:solidFill>
                  <a:effectLst/>
                  <a:latin typeface="Cambria Math" panose="02040503050406030204" pitchFamily="18" charset="0"/>
                  <a:ea typeface="+mn-ea"/>
                  <a:cs typeface="+mn-cs"/>
                </a:rPr>
                <a:t>𝐸_𝐼 ̅  </a:t>
              </a:r>
              <a:r>
                <a:rPr lang="es-CO" sz="1100" i="0">
                  <a:latin typeface="Cambria Math" panose="02040503050406030204" pitchFamily="18" charset="0"/>
                </a:rPr>
                <a:t> </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536863</xdr:colOff>
      <xdr:row>53</xdr:row>
      <xdr:rowOff>112567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xdr:cNvSpPr txBox="1"/>
          </xdr:nvSpPr>
          <xdr:spPr>
            <a:xfrm>
              <a:off x="5851813" y="20200792"/>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502227</xdr:colOff>
      <xdr:row>53</xdr:row>
      <xdr:rowOff>103908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xdr:cNvSpPr txBox="1"/>
          </xdr:nvSpPr>
          <xdr:spPr>
            <a:xfrm>
              <a:off x="6703002" y="20192133"/>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2</xdr:col>
      <xdr:colOff>254045</xdr:colOff>
      <xdr:row>108</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panose="02040503050406030204" pitchFamily="18" charset="0"/>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0</xdr:col>
      <xdr:colOff>90640</xdr:colOff>
      <xdr:row>116</xdr:row>
      <xdr:rowOff>228600</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panose="02040503050406030204" pitchFamily="18" charset="0"/>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xdr:cNvSpPr txBox="1"/>
          </xdr:nvSpPr>
          <xdr:spPr>
            <a:xfrm>
              <a:off x="8253565" y="42043350"/>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0</xdr:col>
      <xdr:colOff>624477</xdr:colOff>
      <xdr:row>118</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panose="02040503050406030204" pitchFamily="18" charset="0"/>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3</xdr:col>
      <xdr:colOff>17319</xdr:colOff>
      <xdr:row>117</xdr:row>
      <xdr:rowOff>121227</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3360594" y="44517252"/>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bg1"/>
                            </a:solidFill>
                            <a:latin typeface="Cambria Math" panose="02040503050406030204" pitchFamily="18" charset="0"/>
                          </a:rPr>
                        </m:ctrlPr>
                      </m:sSupPr>
                      <m:e>
                        <m:r>
                          <m:rPr>
                            <m:nor/>
                          </m:rPr>
                          <a:rPr lang="es-CO" sz="1100" b="0" i="1">
                            <a:solidFill>
                              <a:schemeClr val="bg1"/>
                            </a:solidFill>
                            <a:latin typeface="Cambria Math" panose="02040503050406030204" pitchFamily="18" charset="0"/>
                          </a:rPr>
                          <m:t>s</m:t>
                        </m:r>
                        <m:r>
                          <m:rPr>
                            <m:nor/>
                          </m:rPr>
                          <a:rPr lang="es-CO" sz="1100" b="0" i="1">
                            <a:solidFill>
                              <a:schemeClr val="bg1"/>
                            </a:solidFill>
                            <a:latin typeface="Cambria Math" panose="02040503050406030204" pitchFamily="18" charset="0"/>
                          </a:rPr>
                          <m:t>  </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m</m:t>
                        </m:r>
                        <m:r>
                          <a:rPr lang="es-CO" sz="1100" b="0" i="1" baseline="0">
                            <a:solidFill>
                              <a:schemeClr val="bg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bg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bg1"/>
                            </a:solidFill>
                            <a:effectLst/>
                            <a:latin typeface="Times New Roman" panose="02020603050405020304" pitchFamily="18" charset="0"/>
                            <a:ea typeface="+mn-ea"/>
                            <a:cs typeface="Times New Roman" panose="02020603050405020304" pitchFamily="18" charset="0"/>
                          </a:rPr>
                          <m:t>  </m:t>
                        </m:r>
                        <m:r>
                          <m:rPr>
                            <m:nor/>
                          </m:rPr>
                          <a:rPr lang="es-CO" b="0" i="1">
                            <a:solidFill>
                              <a:schemeClr val="bg1"/>
                            </a:solidFill>
                            <a:effectLst/>
                            <a:latin typeface="Times New Roman" panose="02020603050405020304" pitchFamily="18" charset="0"/>
                            <a:cs typeface="Times New Roman" panose="02020603050405020304" pitchFamily="18" charset="0"/>
                          </a:rPr>
                          <m:t> </m:t>
                        </m:r>
                      </m:e>
                      <m:sup>
                        <m:r>
                          <a:rPr lang="es-CO" sz="1100" b="0" i="1">
                            <a:solidFill>
                              <a:schemeClr val="bg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xdr:cNvSpPr txBox="1"/>
          </xdr:nvSpPr>
          <xdr:spPr>
            <a:xfrm>
              <a:off x="9218469" y="43136127"/>
              <a:ext cx="775725" cy="17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bg1"/>
                  </a:solidFill>
                  <a:latin typeface="Cambria Math" panose="02040503050406030204" pitchFamily="18" charset="0"/>
                </a:rPr>
                <a:t>〖"s  </a:t>
              </a:r>
              <a:r>
                <a:rPr lang="es-CO" sz="1100" b="0" i="0" baseline="0">
                  <a:solidFill>
                    <a:schemeClr val="bg1"/>
                  </a:solidFill>
                  <a:effectLst/>
                  <a:latin typeface="Times New Roman" panose="02020603050405020304" pitchFamily="18" charset="0"/>
                  <a:ea typeface="+mn-ea"/>
                  <a:cs typeface="Times New Roman" panose="02020603050405020304" pitchFamily="18" charset="0"/>
                </a:rPr>
                <a:t>maxima  </a:t>
              </a:r>
              <a:r>
                <a:rPr lang="es-CO" b="0" i="0">
                  <a:solidFill>
                    <a:schemeClr val="bg1"/>
                  </a:solidFill>
                  <a:effectLst/>
                  <a:latin typeface="Times New Roman" panose="02020603050405020304" pitchFamily="18" charset="0"/>
                  <a:cs typeface="Times New Roman" panose="02020603050405020304" pitchFamily="18" charset="0"/>
                </a:rPr>
                <a:t> </a:t>
              </a:r>
              <a:r>
                <a:rPr lang="es-CO" b="0" i="0">
                  <a:solidFill>
                    <a:schemeClr val="bg1"/>
                  </a:solidFill>
                  <a:effectLst/>
                  <a:latin typeface="Cambria Math" panose="02040503050406030204" pitchFamily="18" charset="0"/>
                  <a:cs typeface="Times New Roman" panose="02020603050405020304" pitchFamily="18" charset="0"/>
                </a:rPr>
                <a:t>" </a:t>
              </a:r>
              <a:r>
                <a:rPr lang="es-CO" sz="1100" b="0" i="0">
                  <a:solidFill>
                    <a:schemeClr val="bg1"/>
                  </a:solidFill>
                  <a:effectLst/>
                  <a:latin typeface="Cambria Math" panose="02040503050406030204" pitchFamily="18" charset="0"/>
                  <a:cs typeface="Times New Roman" panose="02020603050405020304" pitchFamily="18" charset="0"/>
                </a:rPr>
                <a:t>〗^</a:t>
              </a:r>
              <a:r>
                <a:rPr lang="es-CO" sz="1100" b="0" i="0">
                  <a:solidFill>
                    <a:schemeClr val="bg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67246</xdr:colOff>
      <xdr:row>118</xdr:row>
      <xdr:rowOff>15371</xdr:rowOff>
    </xdr:from>
    <xdr:ext cx="835559" cy="347382"/>
    <mc:AlternateContent xmlns:mc="http://schemas.openxmlformats.org/markup-compatibility/2006" xmlns:a14="http://schemas.microsoft.com/office/drawing/2010/main">
      <mc:Choice Requires="a14">
        <xdr:sp macro="" textlink="">
          <xdr:nvSpPr>
            <xdr:cNvPr id="30" name="CuadroTexto 29">
              <a:extLst>
                <a:ext uri="{FF2B5EF4-FFF2-40B4-BE49-F238E27FC236}">
                  <a16:creationId xmlns="" xmlns:a16="http://schemas.microsoft.com/office/drawing/2014/main" id="{00000000-0008-0000-0200-00001E000000}"/>
                </a:ext>
              </a:extLst>
            </xdr:cNvPr>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800" b="0" i="1">
                            <a:solidFill>
                              <a:schemeClr val="tx1"/>
                            </a:solidFill>
                            <a:effectLst/>
                            <a:latin typeface="Cambria Math" panose="02040503050406030204" pitchFamily="18" charset="0"/>
                            <a:ea typeface="+mn-ea"/>
                            <a:cs typeface="+mn-cs"/>
                          </a:rPr>
                        </m:ctrlPr>
                      </m:sSupPr>
                      <m:e>
                        <m:f>
                          <m:fPr>
                            <m:ctrlPr>
                              <a:rPr lang="es-CO" sz="800" b="0" i="1">
                                <a:solidFill>
                                  <a:schemeClr val="tx1"/>
                                </a:solidFill>
                                <a:effectLst/>
                                <a:latin typeface="Cambria Math" panose="02040503050406030204" pitchFamily="18" charset="0"/>
                                <a:ea typeface="+mn-ea"/>
                                <a:cs typeface="+mn-cs"/>
                              </a:rPr>
                            </m:ctrlPr>
                          </m:fPr>
                          <m:num>
                            <m:sSup>
                              <m:sSupPr>
                                <m:ctrlPr>
                                  <a:rPr lang="es-CO" sz="800" b="0" i="1">
                                    <a:solidFill>
                                      <a:schemeClr val="tx1"/>
                                    </a:solidFill>
                                    <a:effectLst/>
                                    <a:latin typeface="Cambria Math" panose="02040503050406030204" pitchFamily="18" charset="0"/>
                                    <a:ea typeface="+mn-ea"/>
                                    <a:cs typeface="+mn-cs"/>
                                  </a:rPr>
                                </m:ctrlPr>
                              </m:sSupPr>
                              <m:e>
                                <m:r>
                                  <a:rPr lang="es-CO" sz="800" b="0" i="1">
                                    <a:solidFill>
                                      <a:schemeClr val="tx1"/>
                                    </a:solidFill>
                                    <a:effectLst/>
                                    <a:latin typeface="Cambria Math" panose="02040503050406030204" pitchFamily="18" charset="0"/>
                                    <a:ea typeface="+mn-ea"/>
                                    <a:cs typeface="+mn-cs"/>
                                  </a:rPr>
                                  <m:t>𝑑</m:t>
                                </m:r>
                              </m:e>
                              <m:sup>
                                <m:r>
                                  <a:rPr lang="es-CO" sz="800" b="0" i="1">
                                    <a:solidFill>
                                      <a:schemeClr val="tx1"/>
                                    </a:solidFill>
                                    <a:effectLst/>
                                    <a:latin typeface="Cambria Math" panose="02040503050406030204" pitchFamily="18" charset="0"/>
                                    <a:ea typeface="+mn-ea"/>
                                    <a:cs typeface="+mn-cs"/>
                                  </a:rPr>
                                  <m:t>2</m:t>
                                </m:r>
                              </m:sup>
                            </m:sSup>
                          </m:num>
                          <m:den>
                            <m:r>
                              <a:rPr lang="es-CO" sz="800" b="0" i="1">
                                <a:solidFill>
                                  <a:schemeClr val="tx1"/>
                                </a:solidFill>
                                <a:effectLst/>
                                <a:latin typeface="Cambria Math" panose="02040503050406030204" pitchFamily="18" charset="0"/>
                                <a:ea typeface="+mn-ea"/>
                                <a:cs typeface="+mn-cs"/>
                              </a:rPr>
                              <m:t>6</m:t>
                            </m:r>
                          </m:den>
                        </m:f>
                        <m:r>
                          <m:rPr>
                            <m:nor/>
                          </m:rPr>
                          <a:rPr lang="es-CO" sz="800" i="1">
                            <a:solidFill>
                              <a:schemeClr val="tx1"/>
                            </a:solidFill>
                            <a:effectLst/>
                            <a:latin typeface="+mn-lt"/>
                            <a:ea typeface="+mn-ea"/>
                            <a:cs typeface="+mn-cs"/>
                          </a:rPr>
                          <m:t> </m:t>
                        </m:r>
                        <m:r>
                          <m:rPr>
                            <m:nor/>
                          </m:rPr>
                          <a:rPr lang="es-CO" sz="800" b="0" i="1">
                            <a:solidFill>
                              <a:schemeClr val="tx1"/>
                            </a:solidFill>
                            <a:effectLst/>
                            <a:latin typeface="+mn-lt"/>
                            <a:ea typeface="+mn-ea"/>
                            <a:cs typeface="+mn-cs"/>
                          </a:rPr>
                          <m:t>+</m:t>
                        </m:r>
                        <m:r>
                          <a:rPr lang="es-CO" sz="800" b="0" i="1">
                            <a:solidFill>
                              <a:schemeClr val="tx1"/>
                            </a:solidFill>
                            <a:effectLst/>
                            <a:latin typeface="Cambria Math" panose="02040503050406030204" pitchFamily="18" charset="0"/>
                            <a:ea typeface="+mn-ea"/>
                            <a:cs typeface="+mn-cs"/>
                          </a:rPr>
                          <m:t> </m:t>
                        </m:r>
                        <m:sSup>
                          <m:sSupPr>
                            <m:ctrlPr>
                              <a:rPr lang="es-CO" sz="1000" b="0" i="1">
                                <a:solidFill>
                                  <a:schemeClr val="tx1"/>
                                </a:solidFill>
                                <a:effectLst/>
                                <a:latin typeface="Cambria Math" panose="02040503050406030204" pitchFamily="18" charset="0"/>
                                <a:ea typeface="+mn-ea"/>
                                <a:cs typeface="+mn-cs"/>
                              </a:rPr>
                            </m:ctrlPr>
                          </m:sSupPr>
                          <m:e>
                            <m:r>
                              <a:rPr lang="es-CO" sz="1000" b="0" i="1">
                                <a:solidFill>
                                  <a:schemeClr val="tx1"/>
                                </a:solidFill>
                                <a:effectLst/>
                                <a:latin typeface="Cambria Math" panose="02040503050406030204" pitchFamily="18" charset="0"/>
                                <a:ea typeface="+mn-ea"/>
                                <a:cs typeface="+mn-cs"/>
                              </a:rPr>
                              <m:t>𝑠</m:t>
                            </m:r>
                            <m:r>
                              <a:rPr lang="es-CO" sz="1000" b="0" i="1">
                                <a:solidFill>
                                  <a:schemeClr val="tx1"/>
                                </a:solidFill>
                                <a:effectLst/>
                                <a:latin typeface="Cambria Math" panose="02040503050406030204" pitchFamily="18" charset="0"/>
                                <a:ea typeface="+mn-ea"/>
                                <a:cs typeface="+mn-cs"/>
                              </a:rPr>
                              <m:t> </m:t>
                            </m:r>
                            <m:r>
                              <a:rPr lang="es-CO" sz="1000" b="0" i="1">
                                <a:solidFill>
                                  <a:schemeClr val="tx1"/>
                                </a:solidFill>
                                <a:effectLst/>
                                <a:latin typeface="Cambria Math" panose="02040503050406030204" pitchFamily="18" charset="0"/>
                                <a:ea typeface="+mn-ea"/>
                                <a:cs typeface="+mn-cs"/>
                              </a:rPr>
                              <m:t>𝑚𝑎𝑥𝑖𝑚𝑎</m:t>
                            </m:r>
                          </m:e>
                          <m:sup>
                            <m:r>
                              <a:rPr lang="es-CO" sz="1000" b="0" i="1">
                                <a:solidFill>
                                  <a:schemeClr val="tx1"/>
                                </a:solidFill>
                                <a:effectLst/>
                                <a:latin typeface="Cambria Math" panose="02040503050406030204" pitchFamily="18" charset="0"/>
                                <a:ea typeface="+mn-ea"/>
                                <a:cs typeface="+mn-cs"/>
                              </a:rPr>
                              <m:t>2</m:t>
                            </m:r>
                          </m:sup>
                        </m:sSup>
                      </m:e>
                      <m:sup/>
                    </m:sSup>
                  </m:oMath>
                </m:oMathPara>
              </a14:m>
              <a:endParaRPr lang="es-CO" sz="1050" b="1"/>
            </a:p>
          </xdr:txBody>
        </xdr:sp>
      </mc:Choice>
      <mc:Fallback xmlns="">
        <xdr:sp macro="" textlink="">
          <xdr:nvSpPr>
            <xdr:cNvPr id="30" name="CuadroTexto 29"/>
            <xdr:cNvSpPr txBox="1"/>
          </xdr:nvSpPr>
          <xdr:spPr>
            <a:xfrm>
              <a:off x="10154221" y="43430321"/>
              <a:ext cx="835559" cy="3473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s-CO" sz="800" b="0" i="0">
                  <a:solidFill>
                    <a:schemeClr val="tx1"/>
                  </a:solidFill>
                  <a:effectLst/>
                  <a:latin typeface="Cambria Math" panose="02040503050406030204" pitchFamily="18" charset="0"/>
                  <a:ea typeface="+mn-ea"/>
                  <a:cs typeface="+mn-cs"/>
                </a:rPr>
                <a:t>〖𝑑^2/6</a:t>
              </a:r>
              <a:r>
                <a:rPr lang="es-CO" sz="800" b="0" i="0">
                  <a:solidFill>
                    <a:schemeClr val="tx1"/>
                  </a:solidFill>
                  <a:effectLst/>
                  <a:latin typeface="+mn-lt"/>
                  <a:ea typeface="+mn-ea"/>
                  <a:cs typeface="+mn-cs"/>
                </a:rPr>
                <a:t> "</a:t>
              </a:r>
              <a:r>
                <a:rPr lang="es-CO" sz="800" i="0">
                  <a:solidFill>
                    <a:schemeClr val="tx1"/>
                  </a:solidFill>
                  <a:effectLst/>
                  <a:latin typeface="+mn-lt"/>
                  <a:ea typeface="+mn-ea"/>
                  <a:cs typeface="+mn-cs"/>
                </a:rPr>
                <a:t> </a:t>
              </a:r>
              <a:r>
                <a:rPr lang="es-CO" sz="800" b="0" i="0">
                  <a:solidFill>
                    <a:schemeClr val="tx1"/>
                  </a:solidFill>
                  <a:effectLst/>
                  <a:latin typeface="+mn-lt"/>
                  <a:ea typeface="+mn-ea"/>
                  <a:cs typeface="+mn-cs"/>
                </a:rPr>
                <a:t>+</a:t>
              </a:r>
              <a:r>
                <a:rPr lang="es-CO" sz="800" b="0" i="0">
                  <a:solidFill>
                    <a:schemeClr val="tx1"/>
                  </a:solidFill>
                  <a:effectLst/>
                  <a:latin typeface="Cambria Math" panose="02040503050406030204" pitchFamily="18" charset="0"/>
                  <a:ea typeface="+mn-ea"/>
                  <a:cs typeface="+mn-cs"/>
                </a:rPr>
                <a:t>"  </a:t>
              </a:r>
              <a:r>
                <a:rPr lang="es-CO" sz="1000" b="0" i="0">
                  <a:solidFill>
                    <a:schemeClr val="tx1"/>
                  </a:solidFill>
                  <a:effectLst/>
                  <a:latin typeface="Cambria Math" panose="02040503050406030204" pitchFamily="18" charset="0"/>
                  <a:ea typeface="+mn-ea"/>
                  <a:cs typeface="+mn-cs"/>
                </a:rPr>
                <a:t>〖𝑠 𝑚𝑎𝑥𝑖𝑚𝑎〗^2</a:t>
              </a:r>
              <a:r>
                <a:rPr lang="es-CO" sz="800" b="0" i="0">
                  <a:solidFill>
                    <a:schemeClr val="tx1"/>
                  </a:solidFill>
                  <a:effectLst/>
                  <a:latin typeface="Cambria Math" panose="02040503050406030204" pitchFamily="18" charset="0"/>
                  <a:ea typeface="+mn-ea"/>
                  <a:cs typeface="+mn-cs"/>
                </a:rPr>
                <a:t>〗^</a:t>
              </a:r>
              <a:endParaRPr lang="es-CO" sz="1050" b="1"/>
            </a:p>
          </xdr:txBody>
        </xdr:sp>
      </mc:Fallback>
    </mc:AlternateContent>
    <xdr:clientData/>
  </xdr:oneCellAnchor>
  <xdr:oneCellAnchor>
    <xdr:from>
      <xdr:col>3</xdr:col>
      <xdr:colOff>129221</xdr:colOff>
      <xdr:row>108</xdr:row>
      <xdr:rowOff>57188</xdr:rowOff>
    </xdr:from>
    <xdr:ext cx="865910" cy="337704"/>
    <mc:AlternateContent xmlns:mc="http://schemas.openxmlformats.org/markup-compatibility/2006" xmlns:a14="http://schemas.microsoft.com/office/drawing/2010/main">
      <mc:Choice Requires="a14">
        <xdr:sp macro="" textlink="">
          <xdr:nvSpPr>
            <xdr:cNvPr id="31" name="CuadroTexto 30">
              <a:extLst>
                <a:ext uri="{FF2B5EF4-FFF2-40B4-BE49-F238E27FC236}">
                  <a16:creationId xmlns="" xmlns:a16="http://schemas.microsoft.com/office/drawing/2014/main" id="{00000000-0008-0000-0200-00001F000000}"/>
                </a:ext>
              </a:extLst>
            </xdr:cNvPr>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050" i="1">
                            <a:solidFill>
                              <a:schemeClr val="tx1"/>
                            </a:solidFill>
                            <a:effectLst/>
                            <a:latin typeface="Cambria Math" panose="02040503050406030204" pitchFamily="18" charset="0"/>
                            <a:ea typeface="+mn-ea"/>
                            <a:cs typeface="+mn-cs"/>
                          </a:rPr>
                        </m:ctrlPr>
                      </m:sSupPr>
                      <m:e>
                        <m:sSup>
                          <m:sSupPr>
                            <m:ctrlPr>
                              <a:rPr lang="es-CO" sz="105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m:t>
                            </m:r>
                            <m:acc>
                              <m:accPr>
                                <m:chr m:val="̅"/>
                                <m:ctrlPr>
                                  <a:rPr lang="es-CO" sz="1050" i="1">
                                    <a:solidFill>
                                      <a:schemeClr val="tx1"/>
                                    </a:solidFill>
                                    <a:effectLst/>
                                    <a:latin typeface="Cambria Math" panose="02040503050406030204" pitchFamily="18" charset="0"/>
                                    <a:ea typeface="+mn-ea"/>
                                    <a:cs typeface="+mn-cs"/>
                                  </a:rPr>
                                </m:ctrlPr>
                              </m:accPr>
                              <m:e>
                                <m:r>
                                  <a:rPr lang="es-CO" sz="1050" b="0" i="1">
                                    <a:solidFill>
                                      <a:schemeClr val="tx1"/>
                                    </a:solidFill>
                                    <a:effectLst/>
                                    <a:latin typeface="Cambria Math" panose="02040503050406030204" pitchFamily="18" charset="0"/>
                                    <a:ea typeface="+mn-ea"/>
                                    <a:cs typeface="+mn-cs"/>
                                  </a:rPr>
                                  <m:t>𝐼</m:t>
                                </m:r>
                              </m:e>
                            </m:acc>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𝑝</m:t>
                        </m:r>
                        <m:r>
                          <a:rPr lang="es-CO" sz="1050" b="0" i="1">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 ∗ </m:t>
                    </m:r>
                    <m:f>
                      <m:fPr>
                        <m:ctrlPr>
                          <a:rPr lang="es-CO" sz="1050" b="0" i="1">
                            <a:solidFill>
                              <a:schemeClr val="tx1"/>
                            </a:solidFill>
                            <a:effectLst/>
                            <a:latin typeface="Cambria Math" panose="02040503050406030204" pitchFamily="18" charset="0"/>
                            <a:ea typeface="+mn-ea"/>
                            <a:cs typeface="+mn-cs"/>
                          </a:rPr>
                        </m:ctrlPr>
                      </m:fPr>
                      <m:num>
                        <m:sSup>
                          <m:sSupPr>
                            <m:ctrlPr>
                              <a:rPr lang="es-CO" sz="1050" b="0" i="1">
                                <a:solidFill>
                                  <a:schemeClr val="tx1"/>
                                </a:solidFill>
                                <a:effectLst/>
                                <a:latin typeface="Cambria Math" panose="02040503050406030204" pitchFamily="18" charset="0"/>
                                <a:ea typeface="+mn-ea"/>
                                <a:cs typeface="+mn-cs"/>
                              </a:rPr>
                            </m:ctrlPr>
                          </m:sSupPr>
                          <m:e>
                            <m:r>
                              <a:rPr lang="es-CO" sz="1050" b="0" i="1">
                                <a:solidFill>
                                  <a:schemeClr val="tx1"/>
                                </a:solidFill>
                                <a:effectLst/>
                                <a:latin typeface="Cambria Math" panose="02040503050406030204" pitchFamily="18" charset="0"/>
                                <a:ea typeface="+mn-ea"/>
                                <a:cs typeface="+mn-cs"/>
                              </a:rPr>
                              <m:t>𝑑</m:t>
                            </m:r>
                          </m:e>
                          <m:sup>
                            <m:r>
                              <a:rPr lang="es-CO" sz="1050" b="0" i="1">
                                <a:solidFill>
                                  <a:schemeClr val="tx1"/>
                                </a:solidFill>
                                <a:effectLst/>
                                <a:latin typeface="Cambria Math" panose="02040503050406030204" pitchFamily="18" charset="0"/>
                                <a:ea typeface="+mn-ea"/>
                                <a:cs typeface="+mn-cs"/>
                              </a:rPr>
                              <m:t>2</m:t>
                            </m:r>
                          </m:sup>
                        </m:sSup>
                      </m:num>
                      <m:den>
                        <m:r>
                          <a:rPr lang="es-CO" sz="1050" b="0" i="1">
                            <a:solidFill>
                              <a:schemeClr val="tx1"/>
                            </a:solidFill>
                            <a:effectLst/>
                            <a:latin typeface="Cambria Math" panose="02040503050406030204" pitchFamily="18" charset="0"/>
                            <a:ea typeface="+mn-ea"/>
                            <a:cs typeface="+mn-cs"/>
                          </a:rPr>
                          <m:t>6</m:t>
                        </m:r>
                      </m:den>
                    </m:f>
                  </m:oMath>
                </m:oMathPara>
              </a14:m>
              <a:endParaRPr lang="es-CO">
                <a:effectLst/>
              </a:endParaRPr>
            </a:p>
            <a:p>
              <a:pPr/>
              <a14:m>
                <m:oMathPara xmlns:m="http://schemas.openxmlformats.org/officeDocument/2006/math">
                  <m:oMathParaPr>
                    <m:jc m:val="centerGroup"/>
                  </m:oMathParaPr>
                  <m:oMath xmlns:m="http://schemas.openxmlformats.org/officeDocument/2006/math">
                    <m:r>
                      <a:rPr lang="es-CO" sz="1100" b="0" i="1">
                        <a:solidFill>
                          <a:schemeClr val="tx1"/>
                        </a:solidFill>
                        <a:effectLst/>
                        <a:latin typeface="Cambria Math" panose="02040503050406030204" pitchFamily="18" charset="0"/>
                        <a:ea typeface="+mn-ea"/>
                        <a:cs typeface="+mn-cs"/>
                      </a:rPr>
                      <m:t> </m:t>
                    </m:r>
                  </m:oMath>
                </m:oMathPara>
              </a14:m>
              <a:endParaRPr lang="es-CO" sz="1100" b="1"/>
            </a:p>
          </xdr:txBody>
        </xdr:sp>
      </mc:Choice>
      <mc:Fallback xmlns="">
        <xdr:sp macro="" textlink="">
          <xdr:nvSpPr>
            <xdr:cNvPr id="31" name="CuadroTexto 30"/>
            <xdr:cNvSpPr txBox="1"/>
          </xdr:nvSpPr>
          <xdr:spPr>
            <a:xfrm>
              <a:off x="5109435" y="38783117"/>
              <a:ext cx="865910" cy="337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 ̅〗^2  ∗𝑝)〗^2  ∗  𝑑^2/6</a:t>
              </a:r>
              <a:endParaRPr lang="es-CO">
                <a:effectLst/>
              </a:endParaRPr>
            </a:p>
            <a:p>
              <a:pPr/>
              <a:r>
                <a:rPr lang="es-CO" sz="1100" b="0" i="0">
                  <a:solidFill>
                    <a:schemeClr val="tx1"/>
                  </a:solidFill>
                  <a:effectLst/>
                  <a:latin typeface="Cambria Math" panose="02040503050406030204" pitchFamily="18" charset="0"/>
                  <a:ea typeface="+mn-ea"/>
                  <a:cs typeface="+mn-cs"/>
                </a:rPr>
                <a:t> </a:t>
              </a:r>
              <a:endParaRPr lang="es-CO" sz="1100" b="1"/>
            </a:p>
          </xdr:txBody>
        </xdr:sp>
      </mc:Fallback>
    </mc:AlternateContent>
    <xdr:clientData/>
  </xdr:oneCellAnchor>
  <xdr:oneCellAnchor>
    <xdr:from>
      <xdr:col>4</xdr:col>
      <xdr:colOff>1105964</xdr:colOff>
      <xdr:row>114</xdr:row>
      <xdr:rowOff>71311</xdr:rowOff>
    </xdr:from>
    <xdr:ext cx="1109797" cy="255106"/>
    <mc:AlternateContent xmlns:mc="http://schemas.openxmlformats.org/markup-compatibility/2006" xmlns:a14="http://schemas.microsoft.com/office/drawing/2010/main">
      <mc:Choice Requires="a14">
        <xdr:sp macro="" textlink="">
          <xdr:nvSpPr>
            <xdr:cNvPr id="32" name="CuadroTexto 31">
              <a:extLst>
                <a:ext uri="{FF2B5EF4-FFF2-40B4-BE49-F238E27FC236}">
                  <a16:creationId xmlns="" xmlns:a16="http://schemas.microsoft.com/office/drawing/2014/main" id="{00000000-0008-0000-0200-000020000000}"/>
                </a:ext>
              </a:extLst>
            </xdr:cNvPr>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14:m>
                <m:oMath xmlns:m="http://schemas.openxmlformats.org/officeDocument/2006/math">
                  <m:r>
                    <a:rPr lang="es-CO" sz="1200" b="0" i="1">
                      <a:solidFill>
                        <a:schemeClr val="bg1"/>
                      </a:solidFill>
                      <a:effectLst/>
                      <a:latin typeface="Cambria Math" panose="02040503050406030204" pitchFamily="18" charset="0"/>
                      <a:ea typeface="+mn-ea"/>
                      <a:cs typeface="+mn-cs"/>
                    </a:rPr>
                    <m:t>𝑝</m:t>
                  </m:r>
                  <m:sSup>
                    <m:sSupPr>
                      <m:ctrlPr>
                        <a:rPr lang="es-CO" sz="1200" b="0" i="1">
                          <a:solidFill>
                            <a:schemeClr val="bg1"/>
                          </a:solidFill>
                          <a:effectLst/>
                          <a:latin typeface="Cambria Math" panose="02040503050406030204" pitchFamily="18" charset="0"/>
                          <a:ea typeface="+mn-ea"/>
                          <a:cs typeface="+mn-cs"/>
                        </a:rPr>
                      </m:ctrlPr>
                    </m:sSupPr>
                    <m:e>
                      <m:r>
                        <a:rPr lang="es-CO" sz="1200" b="0" i="1">
                          <a:solidFill>
                            <a:schemeClr val="bg1"/>
                          </a:solidFill>
                          <a:effectLst/>
                          <a:latin typeface="Cambria Math" panose="02040503050406030204" pitchFamily="18" charset="0"/>
                          <a:ea typeface="+mn-ea"/>
                          <a:cs typeface="+mn-cs"/>
                        </a:rPr>
                        <m:t>(</m:t>
                      </m:r>
                      <m:sSub>
                        <m:sSubPr>
                          <m:ctrlPr>
                            <a:rPr lang="es-CO" sz="1200" b="0" i="1">
                              <a:solidFill>
                                <a:schemeClr val="bg1"/>
                              </a:solidFill>
                              <a:effectLst/>
                              <a:latin typeface="Cambria Math" panose="02040503050406030204" pitchFamily="18" charset="0"/>
                              <a:ea typeface="+mn-ea"/>
                              <a:cs typeface="+mn-cs"/>
                            </a:rPr>
                          </m:ctrlPr>
                        </m:sSubPr>
                        <m:e>
                          <m:r>
                            <a:rPr lang="es-CO" sz="1200" b="0" i="1">
                              <a:solidFill>
                                <a:schemeClr val="bg1"/>
                              </a:solidFill>
                              <a:effectLst/>
                              <a:latin typeface="Cambria Math" panose="02040503050406030204" pitchFamily="18" charset="0"/>
                              <a:ea typeface="+mn-ea"/>
                              <a:cs typeface="+mn-cs"/>
                            </a:rPr>
                            <m:t>𝑎</m:t>
                          </m:r>
                        </m:e>
                        <m:sub>
                          <m:r>
                            <a:rPr lang="es-CO" sz="1200" b="0" i="1">
                              <a:solidFill>
                                <a:schemeClr val="bg1"/>
                              </a:solidFill>
                              <a:effectLst/>
                              <a:latin typeface="Cambria Math" panose="02040503050406030204" pitchFamily="18" charset="0"/>
                              <a:ea typeface="+mn-ea"/>
                              <a:cs typeface="+mn-cs"/>
                            </a:rPr>
                            <m:t>1</m:t>
                          </m:r>
                        </m:sub>
                      </m:sSub>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𝐼</m:t>
                      </m:r>
                      <m:r>
                        <a:rPr lang="es-CO" sz="1200" b="0" i="1">
                          <a:solidFill>
                            <a:schemeClr val="bg1"/>
                          </a:solidFill>
                          <a:effectLst/>
                          <a:latin typeface="Cambria Math" panose="02040503050406030204" pitchFamily="18" charset="0"/>
                          <a:ea typeface="+mn-ea"/>
                          <a:cs typeface="+mn-cs"/>
                        </a:rPr>
                        <m:t> −</m:t>
                      </m:r>
                      <m:r>
                        <a:rPr lang="es-CO" sz="1200" b="0" i="1">
                          <a:solidFill>
                            <a:schemeClr val="bg1"/>
                          </a:solidFill>
                          <a:effectLst/>
                          <a:latin typeface="Cambria Math" panose="02040503050406030204" pitchFamily="18" charset="0"/>
                          <a:ea typeface="+mn-ea"/>
                          <a:cs typeface="+mn-cs"/>
                        </a:rPr>
                        <m:t>𝐸</m:t>
                      </m:r>
                      <m:r>
                        <a:rPr lang="es-CO" sz="1200" b="0" i="1">
                          <a:solidFill>
                            <a:schemeClr val="bg1"/>
                          </a:solidFill>
                          <a:effectLst/>
                          <a:latin typeface="Cambria Math" panose="02040503050406030204" pitchFamily="18" charset="0"/>
                          <a:ea typeface="+mn-ea"/>
                          <a:cs typeface="+mn-cs"/>
                        </a:rPr>
                        <m:t>)</m:t>
                      </m:r>
                    </m:e>
                    <m:sup>
                      <m:r>
                        <a:rPr lang="es-CO" sz="12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32" name="CuadroTexto 31"/>
            <xdr:cNvSpPr txBox="1"/>
          </xdr:nvSpPr>
          <xdr:spPr>
            <a:xfrm>
              <a:off x="7167328" y="41167356"/>
              <a:ext cx="1109797" cy="255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a:solidFill>
                    <a:schemeClr val="bg1"/>
                  </a:solidFill>
                  <a:effectLst/>
                  <a:ea typeface="+mn-ea"/>
                  <a:cs typeface="+mn-cs"/>
                </a:rPr>
                <a:t>Σ</a:t>
              </a:r>
              <a:r>
                <a:rPr lang="es-CO" sz="1200" b="0" i="0">
                  <a:solidFill>
                    <a:schemeClr val="bg1"/>
                  </a:solidFill>
                  <a:effectLst/>
                  <a:latin typeface="Cambria Math" panose="02040503050406030204" pitchFamily="18" charset="0"/>
                  <a:ea typeface="+mn-ea"/>
                  <a:cs typeface="+mn-cs"/>
                </a:rPr>
                <a:t>𝑝〖(𝑎_1  ∗𝐼 −𝐸)〗^2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8</xdr:col>
      <xdr:colOff>593912</xdr:colOff>
      <xdr:row>116</xdr:row>
      <xdr:rowOff>33620</xdr:rowOff>
    </xdr:from>
    <xdr:ext cx="1916206" cy="313764"/>
    <mc:AlternateContent xmlns:mc="http://schemas.openxmlformats.org/markup-compatibility/2006" xmlns:a14="http://schemas.microsoft.com/office/drawing/2010/main">
      <mc:Choice Requires="a14">
        <xdr:sp macro="" textlink="">
          <xdr:nvSpPr>
            <xdr:cNvPr id="33" name="CuadroTexto 32">
              <a:extLst>
                <a:ext uri="{FF2B5EF4-FFF2-40B4-BE49-F238E27FC236}">
                  <a16:creationId xmlns="" xmlns:a16="http://schemas.microsoft.com/office/drawing/2014/main" id="{00000000-0008-0000-0200-000021000000}"/>
                </a:ext>
              </a:extLst>
            </xdr:cNvPr>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panose="02040503050406030204" pitchFamily="18" charset="0"/>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33" name="CuadroTexto 32"/>
            <xdr:cNvSpPr txBox="1"/>
          </xdr:nvSpPr>
          <xdr:spPr>
            <a:xfrm>
              <a:off x="8756837" y="47849120"/>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2</xdr:col>
      <xdr:colOff>119816</xdr:colOff>
      <xdr:row>132</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panose="02040503050406030204" pitchFamily="18" charset="0"/>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panose="02040503050406030204" pitchFamily="18" charset="0"/>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panose="02040503050406030204" pitchFamily="18" charset="0"/>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86</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88</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91</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92</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93</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panose="02040503050406030204" pitchFamily="18" charset="0"/>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87</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panose="02040503050406030204" pitchFamily="18" charset="0"/>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panose="02040503050406030204" pitchFamily="18" charset="0"/>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95251</xdr:colOff>
      <xdr:row>123</xdr:row>
      <xdr:rowOff>67235</xdr:rowOff>
    </xdr:from>
    <xdr:to>
      <xdr:col>8</xdr:col>
      <xdr:colOff>974913</xdr:colOff>
      <xdr:row>130</xdr:row>
      <xdr:rowOff>425823</xdr:rowOff>
    </xdr:to>
    <xdr:graphicFrame macro="">
      <xdr:nvGraphicFramePr>
        <xdr:cNvPr id="43" name="Gráfico 42">
          <a:extLst>
            <a:ext uri="{FF2B5EF4-FFF2-40B4-BE49-F238E27FC236}">
              <a16:creationId xmlns=""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430894</xdr:colOff>
      <xdr:row>32</xdr:row>
      <xdr:rowOff>368400</xdr:rowOff>
    </xdr:from>
    <xdr:to>
      <xdr:col>11</xdr:col>
      <xdr:colOff>515738</xdr:colOff>
      <xdr:row>37</xdr:row>
      <xdr:rowOff>312962</xdr:rowOff>
    </xdr:to>
    <xdr:pic>
      <xdr:nvPicPr>
        <xdr:cNvPr id="44" name="Imagen 43">
          <a:extLst>
            <a:ext uri="{FF2B5EF4-FFF2-40B4-BE49-F238E27FC236}">
              <a16:creationId xmlns=""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8241394" y="13862150"/>
          <a:ext cx="4529844" cy="2167062"/>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 xmlns:a16="http://schemas.microsoft.com/office/drawing/2014/main"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 xmlns:a16="http://schemas.microsoft.com/office/drawing/2014/main"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 xmlns:a16="http://schemas.microsoft.com/office/drawing/2014/main"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 xmlns:a16="http://schemas.microsoft.com/office/drawing/2014/main"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133350</xdr:colOff>
      <xdr:row>0</xdr:row>
      <xdr:rowOff>171450</xdr:rowOff>
    </xdr:from>
    <xdr:to>
      <xdr:col>1</xdr:col>
      <xdr:colOff>1009650</xdr:colOff>
      <xdr:row>2</xdr:row>
      <xdr:rowOff>272895</xdr:rowOff>
    </xdr:to>
    <xdr:pic>
      <xdr:nvPicPr>
        <xdr:cNvPr id="50" name="Picture 1" descr="\\Abeltran\publico\Logo completo.gif">
          <a:extLst>
            <a:ext uri="{FF2B5EF4-FFF2-40B4-BE49-F238E27FC236}">
              <a16:creationId xmlns=""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33350" y="171450"/>
          <a:ext cx="1990725" cy="977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820371</xdr:colOff>
      <xdr:row>104</xdr:row>
      <xdr:rowOff>76200</xdr:rowOff>
    </xdr:from>
    <xdr:ext cx="1198929" cy="301001"/>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 xmlns:a16="http://schemas.microsoft.com/office/drawing/2014/main" id="{00000000-0008-0000-0200-000031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100" i="1">
                      <a:solidFill>
                        <a:schemeClr val="bg1"/>
                      </a:solidFill>
                      <a:effectLst/>
                      <a:latin typeface="Cambria Math" panose="02040503050406030204" pitchFamily="18" charset="0"/>
                      <a:ea typeface="+mn-ea"/>
                      <a:cs typeface="+mn-cs"/>
                    </a:rPr>
                    <m:t>𝑈</m:t>
                  </m:r>
                  <m:r>
                    <a:rPr lang="es-CO" sz="1100" b="0" i="1">
                      <a:solidFill>
                        <a:schemeClr val="bg1"/>
                      </a:solidFill>
                      <a:effectLst/>
                      <a:latin typeface="Cambria Math" panose="02040503050406030204" pitchFamily="18" charset="0"/>
                      <a:ea typeface="+mn-ea"/>
                      <a:cs typeface="+mn-cs"/>
                    </a:rPr>
                    <m:t>(</m:t>
                  </m:r>
                  <m:r>
                    <a:rPr lang="es-CO" sz="1100" b="0" i="1">
                      <a:solidFill>
                        <a:schemeClr val="bg1"/>
                      </a:solidFill>
                      <a:effectLst/>
                      <a:latin typeface="Cambria Math" panose="02040503050406030204" pitchFamily="18" charset="0"/>
                      <a:ea typeface="+mn-ea"/>
                      <a:cs typeface="+mn-cs"/>
                    </a:rPr>
                    <m:t>𝐸</m:t>
                  </m:r>
                  <m:r>
                    <a:rPr lang="es-CO" sz="1100" b="0" i="1">
                      <a:solidFill>
                        <a:schemeClr val="bg1"/>
                      </a:solidFill>
                      <a:effectLst/>
                      <a:latin typeface="Cambria Math" panose="02040503050406030204" pitchFamily="18" charset="0"/>
                      <a:ea typeface="+mn-ea"/>
                      <a:cs typeface="+mn-cs"/>
                    </a:rPr>
                    <m:t>)</m:t>
                  </m:r>
                </m:oMath>
              </a14:m>
              <a:r>
                <a:rPr lang="es-CO" sz="1100">
                  <a:solidFill>
                    <a:schemeClr val="bg1"/>
                  </a:solidFill>
                  <a:effectLst/>
                  <a:latin typeface="+mn-lt"/>
                  <a:ea typeface="+mn-ea"/>
                  <a:cs typeface="+mn-cs"/>
                </a:rPr>
                <a:t> </a:t>
              </a:r>
              <a14:m>
                <m:oMath xmlns:m="http://schemas.openxmlformats.org/officeDocument/2006/math">
                  <m:r>
                    <a:rPr lang="es-ES" sz="1100" i="1">
                      <a:solidFill>
                        <a:schemeClr val="bg1"/>
                      </a:solidFill>
                      <a:effectLst/>
                      <a:latin typeface="Cambria Math" panose="02040503050406030204" pitchFamily="18" charset="0"/>
                      <a:ea typeface="+mn-ea"/>
                      <a:cs typeface="+mn-cs"/>
                    </a:rPr>
                    <m:t>= </m:t>
                  </m:r>
                  <m:r>
                    <a:rPr lang="es-ES" sz="1100" i="1">
                      <a:solidFill>
                        <a:schemeClr val="bg1"/>
                      </a:solidFill>
                      <a:effectLst/>
                      <a:latin typeface="Cambria Math" panose="02040503050406030204" pitchFamily="18" charset="0"/>
                      <a:ea typeface="+mn-ea"/>
                      <a:cs typeface="+mn-cs"/>
                    </a:rPr>
                    <m:t>𝑢</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𝐸</m:t>
                  </m:r>
                  <m:r>
                    <a:rPr lang="es-ES" sz="1100" i="1">
                      <a:solidFill>
                        <a:schemeClr val="bg1"/>
                      </a:solidFill>
                      <a:effectLst/>
                      <a:latin typeface="Cambria Math" panose="02040503050406030204" pitchFamily="18" charset="0"/>
                      <a:ea typeface="+mn-ea"/>
                      <a:cs typeface="+mn-cs"/>
                    </a:rPr>
                    <m:t>)∗</m:t>
                  </m:r>
                  <m:r>
                    <a:rPr lang="es-ES" sz="1100" i="1">
                      <a:solidFill>
                        <a:schemeClr val="bg1"/>
                      </a:solidFill>
                      <a:effectLst/>
                      <a:latin typeface="Cambria Math" panose="02040503050406030204" pitchFamily="18" charset="0"/>
                      <a:ea typeface="+mn-ea"/>
                      <a:cs typeface="+mn-cs"/>
                    </a:rPr>
                    <m:t>𝑘</m:t>
                  </m:r>
                </m:oMath>
              </a14:m>
              <a:endParaRPr lang="es-CO" sz="1100">
                <a:solidFill>
                  <a:schemeClr val="bg1"/>
                </a:solidFill>
                <a:effectLst/>
                <a:latin typeface="+mn-lt"/>
                <a:ea typeface="+mn-ea"/>
                <a:cs typeface="+mn-cs"/>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100-000013000000}"/>
                </a:ext>
              </a:extLst>
            </xdr:cNvPr>
            <xdr:cNvSpPr txBox="1"/>
          </xdr:nvSpPr>
          <xdr:spPr>
            <a:xfrm>
              <a:off x="4154121" y="41816867"/>
              <a:ext cx="1198929" cy="301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bg1"/>
                  </a:solidFill>
                  <a:effectLst/>
                  <a:latin typeface="Cambria Math" panose="02040503050406030204" pitchFamily="18" charset="0"/>
                  <a:ea typeface="+mn-ea"/>
                  <a:cs typeface="+mn-cs"/>
                </a:rPr>
                <a:t>𝑈</a:t>
              </a:r>
              <a:r>
                <a:rPr lang="es-CO" sz="1100" b="0" i="0">
                  <a:solidFill>
                    <a:schemeClr val="bg1"/>
                  </a:solidFill>
                  <a:effectLst/>
                  <a:latin typeface="Cambria Math" panose="02040503050406030204" pitchFamily="18" charset="0"/>
                  <a:ea typeface="+mn-ea"/>
                  <a:cs typeface="+mn-cs"/>
                </a:rPr>
                <a:t>(𝐸)</a:t>
              </a:r>
              <a:r>
                <a:rPr lang="es-CO" sz="1100">
                  <a:solidFill>
                    <a:schemeClr val="bg1"/>
                  </a:solidFill>
                  <a:effectLst/>
                  <a:latin typeface="+mn-lt"/>
                  <a:ea typeface="+mn-ea"/>
                  <a:cs typeface="+mn-cs"/>
                </a:rPr>
                <a:t> </a:t>
              </a:r>
              <a:r>
                <a:rPr lang="es-ES" sz="1100" i="0">
                  <a:solidFill>
                    <a:schemeClr val="bg1"/>
                  </a:solidFill>
                  <a:effectLst/>
                  <a:latin typeface="Cambria Math" panose="02040503050406030204" pitchFamily="18" charset="0"/>
                  <a:ea typeface="+mn-ea"/>
                  <a:cs typeface="+mn-cs"/>
                </a:rPr>
                <a:t>= 𝑢(𝐸)∗𝑘</a:t>
              </a:r>
              <a:endParaRPr lang="es-CO" sz="1100">
                <a:solidFill>
                  <a:schemeClr val="bg1"/>
                </a:solidFill>
                <a:effectLst/>
                <a:latin typeface="+mn-lt"/>
                <a:ea typeface="+mn-ea"/>
                <a:cs typeface="+mn-cs"/>
              </a:endParaRPr>
            </a:p>
          </xdr:txBody>
        </xdr:sp>
      </mc:Fallback>
    </mc:AlternateContent>
    <xdr:clientData/>
  </xdr:oneCellAnchor>
  <xdr:oneCellAnchor>
    <xdr:from>
      <xdr:col>14</xdr:col>
      <xdr:colOff>628650</xdr:colOff>
      <xdr:row>88</xdr:row>
      <xdr:rowOff>0</xdr:rowOff>
    </xdr:from>
    <xdr:ext cx="65" cy="172227"/>
    <xdr:sp macro="" textlink="">
      <xdr:nvSpPr>
        <xdr:cNvPr id="55" name="CuadroTexto 54">
          <a:extLst>
            <a:ext uri="{FF2B5EF4-FFF2-40B4-BE49-F238E27FC236}">
              <a16:creationId xmlns:a16="http://schemas.microsoft.com/office/drawing/2014/main" xmlns=""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233197</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103810" y="13538089"/>
          <a:ext cx="2401574" cy="1190937"/>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152</xdr:row>
      <xdr:rowOff>133350</xdr:rowOff>
    </xdr:from>
    <xdr:ext cx="295275" cy="375680"/>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257174" y="32975550"/>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oneCellAnchor>
    <xdr:from>
      <xdr:col>0</xdr:col>
      <xdr:colOff>304800</xdr:colOff>
      <xdr:row>98</xdr:row>
      <xdr:rowOff>95983</xdr:rowOff>
    </xdr:from>
    <xdr:ext cx="65" cy="172227"/>
    <xdr:sp macro="" textlink="">
      <xdr:nvSpPr>
        <xdr:cNvPr id="5" name="CuadroTexto 4">
          <a:extLst>
            <a:ext uri="{FF2B5EF4-FFF2-40B4-BE49-F238E27FC236}">
              <a16:creationId xmlns="" xmlns:a16="http://schemas.microsoft.com/office/drawing/2014/main"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98</xdr:row>
      <xdr:rowOff>95983</xdr:rowOff>
    </xdr:from>
    <xdr:ext cx="65" cy="172227"/>
    <xdr:sp macro="" textlink="">
      <xdr:nvSpPr>
        <xdr:cNvPr id="6" name="CuadroTexto 5">
          <a:extLst>
            <a:ext uri="{FF2B5EF4-FFF2-40B4-BE49-F238E27FC236}">
              <a16:creationId xmlns="" xmlns:a16="http://schemas.microsoft.com/office/drawing/2014/main"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152</xdr:row>
      <xdr:rowOff>37892</xdr:rowOff>
    </xdr:from>
    <xdr:ext cx="2243138" cy="26449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panose="02040503050406030204" pitchFamily="18" charset="0"/>
                          <a:ea typeface="+mn-ea"/>
                          <a:cs typeface="+mn-cs"/>
                        </a:rPr>
                      </m:ctrlPr>
                    </m:dPr>
                    <m:e>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panose="02040503050406030204" pitchFamily="18" charset="0"/>
                        </a:rPr>
                      </m:ctrlPr>
                    </m:radPr>
                    <m:deg/>
                    <m:e>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32880092"/>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151</xdr:row>
      <xdr:rowOff>115957</xdr:rowOff>
    </xdr:from>
    <xdr:ext cx="2028063" cy="523875"/>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panose="02040503050406030204" pitchFamily="18" charset="0"/>
                          </a:rPr>
                        </m:ctrlPr>
                      </m:fPr>
                      <m:num>
                        <m:sSup>
                          <m:sSupPr>
                            <m:ctrlPr>
                              <a:rPr lang="es-CO" sz="1400" b="1" i="1">
                                <a:latin typeface="Cambria Math" panose="02040503050406030204" pitchFamily="18" charset="0"/>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2937428" y="32767657"/>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oneCellAnchor>
    <xdr:from>
      <xdr:col>1</xdr:col>
      <xdr:colOff>404091</xdr:colOff>
      <xdr:row>136</xdr:row>
      <xdr:rowOff>156586</xdr:rowOff>
    </xdr:from>
    <xdr:ext cx="3257367" cy="180434"/>
    <mc:AlternateContent xmlns:mc="http://schemas.openxmlformats.org/markup-compatibility/2006" xmlns:a14="http://schemas.microsoft.com/office/drawing/2010/main">
      <mc:Choice Requires="a14">
        <xdr:sp macro="" textlink="">
          <xdr:nvSpPr>
            <xdr:cNvPr id="9" name="CuadroTexto 8"/>
            <xdr:cNvSpPr txBox="1"/>
          </xdr:nvSpPr>
          <xdr:spPr>
            <a:xfrm>
              <a:off x="1745529" y="37716836"/>
              <a:ext cx="3257367" cy="180434"/>
            </a:xfrm>
            <a:prstGeom prst="rect">
              <a:avLst/>
            </a:prstGeom>
            <a:solidFill>
              <a:schemeClr val="bg1"/>
            </a:solidFill>
            <a:ln w="28575">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14:m>
                <m:oMath xmlns:m="http://schemas.openxmlformats.org/officeDocument/2006/math">
                  <m:r>
                    <a:rPr lang="es-CO" sz="1200" b="0" i="1">
                      <a:solidFill>
                        <a:schemeClr val="bg1"/>
                      </a:solidFill>
                      <a:latin typeface="Cambria Math" panose="02040503050406030204" pitchFamily="18" charset="0"/>
                      <a:ea typeface="Cambria Math" panose="02040503050406030204" pitchFamily="18" charset="0"/>
                    </a:rPr>
                    <m:t>𝑅𝑒𝑔𝑙𝑎</m:t>
                  </m:r>
                  <m:r>
                    <a:rPr lang="es-CO" sz="1200" b="0" i="1">
                      <a:solidFill>
                        <a:schemeClr val="bg1"/>
                      </a:solidFill>
                      <a:latin typeface="Cambria Math" panose="02040503050406030204" pitchFamily="18" charset="0"/>
                      <a:ea typeface="Cambria Math" panose="02040503050406030204" pitchFamily="18" charset="0"/>
                    </a:rPr>
                    <m:t> </m:t>
                  </m:r>
                  <m:r>
                    <a:rPr lang="es-CO" sz="1200" b="0" i="1">
                      <a:solidFill>
                        <a:schemeClr val="bg1"/>
                      </a:solidFill>
                      <a:latin typeface="Cambria Math" panose="02040503050406030204" pitchFamily="18" charset="0"/>
                      <a:ea typeface="Cambria Math" panose="02040503050406030204" pitchFamily="18" charset="0"/>
                    </a:rPr>
                    <m:t>𝑑𝑒</m:t>
                  </m:r>
                  <m:r>
                    <a:rPr lang="es-CO" sz="1200" b="0" i="1">
                      <a:solidFill>
                        <a:schemeClr val="bg1"/>
                      </a:solidFill>
                      <a:latin typeface="Cambria Math" panose="02040503050406030204" pitchFamily="18" charset="0"/>
                      <a:ea typeface="Cambria Math" panose="02040503050406030204" pitchFamily="18" charset="0"/>
                    </a:rPr>
                    <m:t> </m:t>
                  </m:r>
                  <m:r>
                    <a:rPr lang="es-CO" sz="1200" b="0" i="1">
                      <a:solidFill>
                        <a:schemeClr val="bg1"/>
                      </a:solidFill>
                      <a:latin typeface="Cambria Math" panose="02040503050406030204" pitchFamily="18" charset="0"/>
                      <a:ea typeface="Cambria Math" panose="02040503050406030204" pitchFamily="18" charset="0"/>
                    </a:rPr>
                    <m:t>𝑑𝑒𝑐𝑖𝑠𝑖</m:t>
                  </m:r>
                  <m:r>
                    <a:rPr lang="es-CO" sz="1200" b="0" i="1">
                      <a:solidFill>
                        <a:schemeClr val="bg1"/>
                      </a:solidFill>
                      <a:latin typeface="Cambria Math" panose="02040503050406030204" pitchFamily="18" charset="0"/>
                      <a:ea typeface="Cambria Math" panose="02040503050406030204" pitchFamily="18" charset="0"/>
                    </a:rPr>
                    <m:t>ó</m:t>
                  </m:r>
                  <m:r>
                    <a:rPr lang="es-CO" sz="1200" b="0" i="1">
                      <a:solidFill>
                        <a:schemeClr val="bg1"/>
                      </a:solidFill>
                      <a:latin typeface="Cambria Math" panose="02040503050406030204" pitchFamily="18" charset="0"/>
                      <a:ea typeface="Cambria Math" panose="02040503050406030204" pitchFamily="18" charset="0"/>
                    </a:rPr>
                    <m:t>𝑛</m:t>
                  </m:r>
                  <m:r>
                    <a:rPr lang="es-CO" sz="1200" b="0" i="1">
                      <a:solidFill>
                        <a:schemeClr val="bg1"/>
                      </a:solidFill>
                      <a:latin typeface="Cambria Math" panose="02040503050406030204" pitchFamily="18" charset="0"/>
                      <a:ea typeface="Cambria Math" panose="02040503050406030204" pitchFamily="18" charset="0"/>
                    </a:rPr>
                    <m:t>=|</m:t>
                  </m:r>
                  <m:r>
                    <a:rPr lang="es-CO" sz="1200" b="0" i="1">
                      <a:solidFill>
                        <a:schemeClr val="bg1"/>
                      </a:solidFill>
                      <a:latin typeface="Cambria Math" panose="02040503050406030204" pitchFamily="18" charset="0"/>
                      <a:ea typeface="Cambria Math" panose="02040503050406030204" pitchFamily="18" charset="0"/>
                    </a:rPr>
                    <m:t>𝐸</m:t>
                  </m:r>
                  <m:r>
                    <a:rPr lang="es-CO" sz="1200" b="0" i="1">
                      <a:solidFill>
                        <a:schemeClr val="bg1"/>
                      </a:solidFill>
                      <a:latin typeface="Cambria Math" panose="02040503050406030204" pitchFamily="18" charset="0"/>
                      <a:ea typeface="Cambria Math" panose="02040503050406030204" pitchFamily="18" charset="0"/>
                    </a:rPr>
                    <m:t>|+</m:t>
                  </m:r>
                  <m:r>
                    <a:rPr lang="es-CO" sz="1200" b="0" i="1">
                      <a:solidFill>
                        <a:schemeClr val="bg1"/>
                      </a:solidFill>
                      <a:latin typeface="Cambria Math" panose="02040503050406030204" pitchFamily="18" charset="0"/>
                      <a:ea typeface="Cambria Math" panose="02040503050406030204" pitchFamily="18" charset="0"/>
                    </a:rPr>
                    <m:t>𝑈</m:t>
                  </m:r>
                  <m:r>
                    <a:rPr lang="es-CO" sz="1200" b="0" i="1">
                      <a:solidFill>
                        <a:schemeClr val="bg1"/>
                      </a:solidFill>
                      <a:latin typeface="Cambria Math" panose="02040503050406030204" pitchFamily="18" charset="0"/>
                      <a:ea typeface="Cambria Math" panose="02040503050406030204" pitchFamily="18" charset="0"/>
                    </a:rPr>
                    <m:t>≤</m:t>
                  </m:r>
                  <m:r>
                    <a:rPr lang="es-CO" sz="1200" b="0" i="1">
                      <a:solidFill>
                        <a:schemeClr val="bg1"/>
                      </a:solidFill>
                      <a:latin typeface="Cambria Math" panose="02040503050406030204" pitchFamily="18" charset="0"/>
                      <a:ea typeface="Cambria Math" panose="02040503050406030204" pitchFamily="18" charset="0"/>
                    </a:rPr>
                    <m:t>𝐸𝑀𝑃</m:t>
                  </m:r>
                </m:oMath>
              </a14:m>
              <a:r>
                <a:rPr lang="es-CO" sz="1200">
                  <a:solidFill>
                    <a:schemeClr val="bg1"/>
                  </a:solidFill>
                  <a:latin typeface="Arial" panose="020B0604020202020204" pitchFamily="34" charset="0"/>
                  <a:cs typeface="Arial" panose="020B0604020202020204" pitchFamily="34" charset="0"/>
                </a:rPr>
                <a:t> </a:t>
              </a:r>
              <a:r>
                <a:rPr lang="es-CO" sz="12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745529" y="37716836"/>
              <a:ext cx="3257367" cy="180434"/>
            </a:xfrm>
            <a:prstGeom prst="rect">
              <a:avLst/>
            </a:prstGeom>
            <a:solidFill>
              <a:schemeClr val="bg1"/>
            </a:solidFill>
            <a:ln w="28575">
              <a:solidFill>
                <a:schemeClr val="bg1"/>
              </a:solidFill>
            </a:ln>
          </xdr:spPr>
          <xdr:style>
            <a:lnRef idx="2">
              <a:schemeClr val="accent1"/>
            </a:lnRef>
            <a:fillRef idx="1">
              <a:schemeClr val="lt1"/>
            </a:fillRef>
            <a:effectRef idx="0">
              <a:schemeClr val="accent1"/>
            </a:effectRef>
            <a:fontRef idx="minor">
              <a:schemeClr val="dk1"/>
            </a:fontRef>
          </xdr:style>
          <xdr:txBody>
            <a:bodyPr vertOverflow="clip" horzOverflow="clip" wrap="none" lIns="0" tIns="0" rIns="0" bIns="0" rtlCol="0" anchor="t">
              <a:spAutoFit/>
            </a:bodyPr>
            <a:lstStyle/>
            <a:p>
              <a:r>
                <a:rPr lang="es-CO" sz="1200" b="0" i="0">
                  <a:solidFill>
                    <a:schemeClr val="bg1"/>
                  </a:solidFill>
                  <a:latin typeface="Cambria Math" panose="02040503050406030204" pitchFamily="18" charset="0"/>
                  <a:ea typeface="Cambria Math" panose="02040503050406030204" pitchFamily="18" charset="0"/>
                </a:rPr>
                <a:t>𝑅𝑒𝑔𝑙𝑎 𝑑𝑒 𝑑𝑒𝑐𝑖𝑠𝑖ó𝑛=|𝐸|+𝑈≤𝐸𝑀𝑃</a:t>
              </a:r>
              <a:r>
                <a:rPr lang="es-CO" sz="1200">
                  <a:solidFill>
                    <a:schemeClr val="bg1"/>
                  </a:solidFill>
                  <a:latin typeface="Arial" panose="020B0604020202020204" pitchFamily="34" charset="0"/>
                  <a:cs typeface="Arial" panose="020B0604020202020204" pitchFamily="34" charset="0"/>
                </a:rPr>
                <a:t> </a:t>
              </a:r>
              <a:r>
                <a:rPr lang="es-CO" sz="1200" b="0">
                  <a:solidFill>
                    <a:schemeClr val="bg1"/>
                  </a:solidFill>
                  <a:latin typeface="Arial" panose="020B0604020202020204" pitchFamily="34" charset="0"/>
                  <a:cs typeface="Arial" panose="020B0604020202020204" pitchFamily="34" charset="0"/>
                </a:rPr>
                <a:t>= </a:t>
              </a:r>
              <a:r>
                <a:rPr lang="es-CO" sz="1200" b="0" i="0">
                  <a:solidFill>
                    <a:schemeClr val="bg1"/>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230535</xdr:colOff>
      <xdr:row>117</xdr:row>
      <xdr:rowOff>14289</xdr:rowOff>
    </xdr:from>
    <xdr:to>
      <xdr:col>5</xdr:col>
      <xdr:colOff>735774</xdr:colOff>
      <xdr:row>133</xdr:row>
      <xdr:rowOff>27196</xdr:rowOff>
    </xdr:to>
    <xdr:graphicFrame macro="">
      <xdr:nvGraphicFramePr>
        <xdr:cNvPr id="4" name="Gráfico 3">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468310</xdr:colOff>
      <xdr:row>120</xdr:row>
      <xdr:rowOff>190325</xdr:rowOff>
    </xdr:from>
    <xdr:to>
      <xdr:col>5</xdr:col>
      <xdr:colOff>694570</xdr:colOff>
      <xdr:row>129</xdr:row>
      <xdr:rowOff>36697</xdr:rowOff>
    </xdr:to>
    <xdr:grpSp>
      <xdr:nvGrpSpPr>
        <xdr:cNvPr id="55" name="Grupo 54"/>
        <xdr:cNvGrpSpPr/>
      </xdr:nvGrpSpPr>
      <xdr:grpSpPr>
        <a:xfrm>
          <a:off x="1809748" y="33853263"/>
          <a:ext cx="4957010" cy="1560872"/>
          <a:chOff x="6577427" y="2641004"/>
          <a:chExt cx="5120635" cy="1538595"/>
        </a:xfrm>
      </xdr:grpSpPr>
      <xdr:cxnSp macro="">
        <xdr:nvCxnSpPr>
          <xdr:cNvPr id="56" name="Conector recto 55"/>
          <xdr:cNvCxnSpPr/>
        </xdr:nvCxnSpPr>
        <xdr:spPr>
          <a:xfrm flipV="1">
            <a:off x="6577427" y="3055335"/>
            <a:ext cx="2569942" cy="7321"/>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7" name="Conector recto 56"/>
          <xdr:cNvCxnSpPr/>
        </xdr:nvCxnSpPr>
        <xdr:spPr>
          <a:xfrm flipV="1">
            <a:off x="6577427" y="3770800"/>
            <a:ext cx="2569942" cy="7321"/>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8" name="Conector recto 57"/>
          <xdr:cNvCxnSpPr/>
        </xdr:nvCxnSpPr>
        <xdr:spPr>
          <a:xfrm flipV="1">
            <a:off x="9128119" y="4172278"/>
            <a:ext cx="2569942" cy="7321"/>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9" name="Conector recto 58"/>
          <xdr:cNvCxnSpPr/>
        </xdr:nvCxnSpPr>
        <xdr:spPr>
          <a:xfrm flipV="1">
            <a:off x="9147369" y="2649114"/>
            <a:ext cx="0" cy="403917"/>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0" name="Conector recto 59"/>
          <xdr:cNvCxnSpPr/>
        </xdr:nvCxnSpPr>
        <xdr:spPr>
          <a:xfrm flipV="1">
            <a:off x="9147369" y="3770800"/>
            <a:ext cx="0" cy="403917"/>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61" name="Conector recto 60"/>
          <xdr:cNvCxnSpPr/>
        </xdr:nvCxnSpPr>
        <xdr:spPr>
          <a:xfrm flipV="1">
            <a:off x="9128120" y="2641004"/>
            <a:ext cx="2569942" cy="7321"/>
          </a:xfrm>
          <a:prstGeom prst="line">
            <a:avLst/>
          </a:prstGeom>
          <a:ln w="28575">
            <a:solidFill>
              <a:schemeClr val="bg1">
                <a:lumMod val="65000"/>
              </a:schemeClr>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570901</xdr:colOff>
      <xdr:row>57</xdr:row>
      <xdr:rowOff>125157</xdr:rowOff>
    </xdr:from>
    <xdr:to>
      <xdr:col>5</xdr:col>
      <xdr:colOff>617202</xdr:colOff>
      <xdr:row>60</xdr:row>
      <xdr:rowOff>233198</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4114201" y="17441607"/>
          <a:ext cx="2408501" cy="1165316"/>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257174</xdr:colOff>
      <xdr:row>143</xdr:row>
      <xdr:rowOff>133350</xdr:rowOff>
    </xdr:from>
    <xdr:ext cx="295275" cy="375680"/>
    <xdr:sp macro="" textlink="">
      <xdr:nvSpPr>
        <xdr:cNvPr id="3" name="CuadroTexto 2">
          <a:extLst>
            <a:ext uri="{FF2B5EF4-FFF2-40B4-BE49-F238E27FC236}">
              <a16:creationId xmlns="" xmlns:a16="http://schemas.microsoft.com/office/drawing/2014/main" id="{00000000-0008-0000-0300-000003000000}"/>
            </a:ext>
          </a:extLst>
        </xdr:cNvPr>
        <xdr:cNvSpPr txBox="1"/>
      </xdr:nvSpPr>
      <xdr:spPr>
        <a:xfrm>
          <a:off x="257174" y="40395525"/>
          <a:ext cx="295275"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CO" sz="2400"/>
        </a:p>
      </xdr:txBody>
    </xdr:sp>
    <xdr:clientData/>
  </xdr:oneCellAnchor>
  <xdr:twoCellAnchor>
    <xdr:from>
      <xdr:col>0</xdr:col>
      <xdr:colOff>151160</xdr:colOff>
      <xdr:row>112</xdr:row>
      <xdr:rowOff>180975</xdr:rowOff>
    </xdr:from>
    <xdr:to>
      <xdr:col>5</xdr:col>
      <xdr:colOff>656399</xdr:colOff>
      <xdr:row>128</xdr:row>
      <xdr:rowOff>138319</xdr:rowOff>
    </xdr:to>
    <xdr:graphicFrame macro="">
      <xdr:nvGraphicFramePr>
        <xdr:cNvPr id="4" name="Gráfico 3">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304800</xdr:colOff>
      <xdr:row>100</xdr:row>
      <xdr:rowOff>95983</xdr:rowOff>
    </xdr:from>
    <xdr:ext cx="65" cy="172227"/>
    <xdr:sp macro="" textlink="">
      <xdr:nvSpPr>
        <xdr:cNvPr id="5" name="CuadroTexto 4">
          <a:extLst>
            <a:ext uri="{FF2B5EF4-FFF2-40B4-BE49-F238E27FC236}">
              <a16:creationId xmlns="" xmlns:a16="http://schemas.microsoft.com/office/drawing/2014/main" id="{00000000-0008-0000-0300-00000C000000}"/>
            </a:ext>
          </a:extLst>
        </xdr:cNvPr>
        <xdr:cNvSpPr txBox="1"/>
      </xdr:nvSpPr>
      <xdr:spPr>
        <a:xfrm>
          <a:off x="304800" y="295949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100</xdr:row>
      <xdr:rowOff>95983</xdr:rowOff>
    </xdr:from>
    <xdr:ext cx="65" cy="172227"/>
    <xdr:sp macro="" textlink="">
      <xdr:nvSpPr>
        <xdr:cNvPr id="6" name="CuadroTexto 5">
          <a:extLst>
            <a:ext uri="{FF2B5EF4-FFF2-40B4-BE49-F238E27FC236}">
              <a16:creationId xmlns="" xmlns:a16="http://schemas.microsoft.com/office/drawing/2014/main" id="{00000000-0008-0000-0300-00000D000000}"/>
            </a:ext>
          </a:extLst>
        </xdr:cNvPr>
        <xdr:cNvSpPr txBox="1"/>
      </xdr:nvSpPr>
      <xdr:spPr>
        <a:xfrm>
          <a:off x="304800" y="295949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223009</xdr:colOff>
      <xdr:row>143</xdr:row>
      <xdr:rowOff>37892</xdr:rowOff>
    </xdr:from>
    <xdr:ext cx="2243138" cy="264496"/>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300-000009000000}"/>
                </a:ext>
              </a:extLst>
            </xdr:cNvPr>
            <xdr:cNvSpPr txBox="1"/>
          </xdr:nvSpPr>
          <xdr:spPr>
            <a:xfrm>
              <a:off x="223009" y="4030006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14:m>
                <m:oMath xmlns:m="http://schemas.openxmlformats.org/officeDocument/2006/math">
                  <m:d>
                    <m:dPr>
                      <m:ctrlPr>
                        <a:rPr lang="es-CO" sz="1400" b="1" i="1">
                          <a:solidFill>
                            <a:schemeClr val="tx1"/>
                          </a:solidFill>
                          <a:effectLst/>
                          <a:latin typeface="Cambria Math" panose="02040503050406030204" pitchFamily="18" charset="0"/>
                          <a:ea typeface="+mn-ea"/>
                          <a:cs typeface="+mn-cs"/>
                        </a:rPr>
                      </m:ctrlPr>
                    </m:dPr>
                    <m:e>
                      <m:sSup>
                        <m:sSupPr>
                          <m:ctrlPr>
                            <a:rPr lang="es-CO" sz="1400" b="1" i="1">
                              <a:solidFill>
                                <a:schemeClr val="tx1"/>
                              </a:solidFill>
                              <a:effectLst/>
                              <a:latin typeface="Cambria Math" panose="02040503050406030204" pitchFamily="18" charset="0"/>
                              <a:ea typeface="+mn-ea"/>
                              <a:cs typeface="+mn-cs"/>
                            </a:rPr>
                          </m:ctrlPr>
                        </m:sSupPr>
                        <m:e>
                          <m:r>
                            <a:rPr lang="es-CO" sz="1400" b="1" i="1">
                              <a:solidFill>
                                <a:schemeClr val="tx1"/>
                              </a:solidFill>
                              <a:effectLst/>
                              <a:latin typeface="Cambria Math" panose="02040503050406030204" pitchFamily="18" charset="0"/>
                              <a:ea typeface="+mn-ea"/>
                              <a:cs typeface="+mn-cs"/>
                            </a:rPr>
                            <m:t>𝑾</m:t>
                          </m:r>
                        </m:e>
                        <m:sup>
                          <m:r>
                            <a:rPr lang="es-CO" sz="1400" b="1" i="1">
                              <a:solidFill>
                                <a:schemeClr val="tx1"/>
                              </a:solidFill>
                              <a:effectLst/>
                              <a:latin typeface="Cambria Math" panose="02040503050406030204" pitchFamily="18" charset="0"/>
                              <a:ea typeface="+mn-ea"/>
                              <a:cs typeface="+mn-cs"/>
                            </a:rPr>
                            <m:t>∗</m:t>
                          </m:r>
                        </m:sup>
                      </m:sSup>
                    </m:e>
                  </m:d>
                  <m:r>
                    <a:rPr lang="es-CO" sz="1400" b="1" i="1">
                      <a:solidFill>
                        <a:schemeClr val="tx1"/>
                      </a:solidFill>
                      <a:effectLst/>
                      <a:latin typeface="Cambria Math" panose="02040503050406030204" pitchFamily="18" charset="0"/>
                      <a:ea typeface="+mn-ea"/>
                      <a:cs typeface="+mn-cs"/>
                    </a:rPr>
                    <m:t>+</m:t>
                  </m:r>
                  <m:r>
                    <a:rPr lang="es-CO" sz="1400" b="1" i="1">
                      <a:latin typeface="Cambria Math" panose="02040503050406030204" pitchFamily="18" charset="0"/>
                    </a:rPr>
                    <m:t>=</m:t>
                  </m:r>
                  <m:rad>
                    <m:radPr>
                      <m:degHide m:val="on"/>
                      <m:ctrlPr>
                        <a:rPr lang="es-CO" sz="1400" b="1" i="1">
                          <a:latin typeface="Cambria Math" panose="02040503050406030204" pitchFamily="18" charset="0"/>
                        </a:rPr>
                      </m:ctrlPr>
                    </m:radPr>
                    <m:deg/>
                    <m:e>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𝑬</m:t>
                          </m:r>
                        </m:e>
                      </m:d>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e>
                  </m:rad>
                </m:oMath>
              </a14:m>
              <a:endParaRPr lang="es-CO" sz="1400" b="1" i="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300-000009000000}"/>
                </a:ext>
              </a:extLst>
            </xdr:cNvPr>
            <xdr:cNvSpPr txBox="1"/>
          </xdr:nvSpPr>
          <xdr:spPr>
            <a:xfrm>
              <a:off x="223009" y="40300067"/>
              <a:ext cx="2243138" cy="264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400" b="1" i="1">
                  <a:solidFill>
                    <a:schemeClr val="tx1"/>
                  </a:solidFill>
                  <a:effectLst/>
                  <a:latin typeface="+mn-lt"/>
                  <a:ea typeface="+mn-ea"/>
                  <a:cs typeface="+mn-cs"/>
                </a:rPr>
                <a:t>u</a:t>
              </a:r>
              <a:r>
                <a:rPr lang="es-CO" sz="1400" b="1" i="0">
                  <a:solidFill>
                    <a:schemeClr val="tx1"/>
                  </a:solidFill>
                  <a:effectLst/>
                  <a:latin typeface="Cambria Math" panose="02040503050406030204" pitchFamily="18" charset="0"/>
                  <a:ea typeface="+mn-ea"/>
                  <a:cs typeface="+mn-cs"/>
                </a:rPr>
                <a:t>(𝑾^∗ )+</a:t>
              </a:r>
              <a:r>
                <a:rPr lang="es-CO" sz="1400" b="1" i="0">
                  <a:latin typeface="Cambria Math" panose="02040503050406030204" pitchFamily="18" charset="0"/>
                </a:rPr>
                <a:t>=√(𝒖^𝟐 (𝑬)+𝒖^𝟐 (𝑹) )</a:t>
              </a:r>
              <a:endParaRPr lang="es-CO" sz="1400" b="1" i="1"/>
            </a:p>
          </xdr:txBody>
        </xdr:sp>
      </mc:Fallback>
    </mc:AlternateContent>
    <xdr:clientData/>
  </xdr:oneCellAnchor>
  <xdr:oneCellAnchor>
    <xdr:from>
      <xdr:col>3</xdr:col>
      <xdr:colOff>3728</xdr:colOff>
      <xdr:row>142</xdr:row>
      <xdr:rowOff>115957</xdr:rowOff>
    </xdr:from>
    <xdr:ext cx="2028063" cy="523875"/>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300-00000A000000}"/>
                </a:ext>
              </a:extLst>
            </xdr:cNvPr>
            <xdr:cNvSpPr txBox="1"/>
          </xdr:nvSpPr>
          <xdr:spPr>
            <a:xfrm>
              <a:off x="3547028" y="40149532"/>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p>
                      <m:sSupPr>
                        <m:ctrlPr>
                          <a:rPr lang="es-CO" sz="1400" b="1" i="1">
                            <a:latin typeface="Cambria Math" panose="02040503050406030204" pitchFamily="18" charset="0"/>
                          </a:rPr>
                        </m:ctrlPr>
                      </m:sSupPr>
                      <m:e>
                        <m:r>
                          <a:rPr lang="es-CO" sz="1400" b="1" i="1">
                            <a:latin typeface="Cambria Math" panose="02040503050406030204" pitchFamily="18" charset="0"/>
                          </a:rPr>
                          <m:t>𝒖</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r>
                      <a:rPr lang="es-CO" sz="1400" b="1" i="1">
                        <a:latin typeface="Cambria Math" panose="02040503050406030204" pitchFamily="18" charset="0"/>
                      </a:rPr>
                      <m:t>=</m:t>
                    </m:r>
                    <m:f>
                      <m:fPr>
                        <m:ctrlPr>
                          <a:rPr lang="es-CO" sz="1400" b="1" i="1">
                            <a:latin typeface="Cambria Math" panose="02040503050406030204" pitchFamily="18" charset="0"/>
                          </a:rPr>
                        </m:ctrlPr>
                      </m:fPr>
                      <m:num>
                        <m:sSup>
                          <m:sSupPr>
                            <m:ctrlPr>
                              <a:rPr lang="es-CO" sz="1400" b="1" i="1">
                                <a:latin typeface="Cambria Math" panose="02040503050406030204" pitchFamily="18" charset="0"/>
                              </a:rPr>
                            </m:ctrlPr>
                          </m:sSupPr>
                          <m:e>
                            <m:r>
                              <a:rPr lang="es-CO" sz="1400" b="1" i="1">
                                <a:latin typeface="Cambria Math" panose="02040503050406030204" pitchFamily="18" charset="0"/>
                              </a:rPr>
                              <m:t>𝒅</m:t>
                            </m:r>
                          </m:e>
                          <m:sup>
                            <m:r>
                              <a:rPr lang="es-CO" sz="1400" b="1" i="1">
                                <a:latin typeface="Cambria Math" panose="02040503050406030204" pitchFamily="18" charset="0"/>
                              </a:rPr>
                              <m:t>𝟐</m:t>
                            </m:r>
                          </m:sup>
                        </m:sSup>
                      </m:num>
                      <m:den>
                        <m:r>
                          <a:rPr lang="es-CO" sz="1400" b="1" i="1">
                            <a:latin typeface="Cambria Math" panose="02040503050406030204" pitchFamily="18" charset="0"/>
                          </a:rPr>
                          <m:t>𝟔</m:t>
                        </m:r>
                      </m:den>
                    </m:f>
                    <m:r>
                      <a:rPr lang="es-CO" sz="1400" b="1" i="1">
                        <a:latin typeface="Cambria Math" panose="02040503050406030204" pitchFamily="18" charset="0"/>
                      </a:rPr>
                      <m:t>+</m:t>
                    </m:r>
                    <m:sSup>
                      <m:sSupPr>
                        <m:ctrlPr>
                          <a:rPr lang="es-CO" sz="1400" b="1" i="1">
                            <a:latin typeface="Cambria Math" panose="02040503050406030204" pitchFamily="18" charset="0"/>
                          </a:rPr>
                        </m:ctrlPr>
                      </m:sSupPr>
                      <m:e>
                        <m:r>
                          <a:rPr lang="es-CO" sz="1400" b="1" i="1">
                            <a:latin typeface="Cambria Math" panose="02040503050406030204" pitchFamily="18" charset="0"/>
                          </a:rPr>
                          <m:t>𝒔</m:t>
                        </m:r>
                      </m:e>
                      <m:sup>
                        <m:r>
                          <a:rPr lang="es-CO" sz="1400" b="1" i="1">
                            <a:latin typeface="Cambria Math" panose="02040503050406030204" pitchFamily="18" charset="0"/>
                          </a:rPr>
                          <m:t>𝟐</m:t>
                        </m:r>
                      </m:sup>
                    </m:sSup>
                    <m:d>
                      <m:dPr>
                        <m:ctrlPr>
                          <a:rPr lang="es-CO" sz="1400" b="1" i="1">
                            <a:latin typeface="Cambria Math" panose="02040503050406030204" pitchFamily="18" charset="0"/>
                          </a:rPr>
                        </m:ctrlPr>
                      </m:dPr>
                      <m:e>
                        <m:r>
                          <a:rPr lang="es-CO" sz="1400" b="1" i="1">
                            <a:latin typeface="Cambria Math" panose="02040503050406030204" pitchFamily="18" charset="0"/>
                          </a:rPr>
                          <m:t>𝑹</m:t>
                        </m:r>
                      </m:e>
                    </m:d>
                  </m:oMath>
                </m:oMathPara>
              </a14:m>
              <a:endParaRPr lang="es-CO" sz="1400" b="1"/>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300-00000A000000}"/>
                </a:ext>
              </a:extLst>
            </xdr:cNvPr>
            <xdr:cNvSpPr txBox="1"/>
          </xdr:nvSpPr>
          <xdr:spPr>
            <a:xfrm>
              <a:off x="3547028" y="40149532"/>
              <a:ext cx="2028063"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400" b="1" i="0">
                  <a:latin typeface="Cambria Math" panose="02040503050406030204" pitchFamily="18" charset="0"/>
                </a:rPr>
                <a:t>𝒖^𝟐 (𝑹)=𝒅^𝟐/𝟔+𝒔^𝟐 (𝑹)</a:t>
              </a:r>
              <a:endParaRPr lang="es-CO" sz="1400" b="1"/>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file:///C:\Users\CA32F~1.YAH\AppData\Local\Temp\Rar$DIa0.424\RT03-F12.Vr.1(2017-04-47).xlsx" TargetMode="External"/><Relationship Id="rId1" Type="http://schemas.openxmlformats.org/officeDocument/2006/relationships/externalLinkPath" Target="file:///C:\Users\CA32F~1.YAH\AppData\Local\Temp\Rar$DIa0.424\RT03-F12.Vr.1(2017-04-47).xls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E202"/>
  <sheetViews>
    <sheetView showGridLines="0" view="pageBreakPreview" topLeftCell="A148" zoomScale="60" zoomScaleNormal="20" workbookViewId="0">
      <selection activeCell="N156" sqref="N156"/>
    </sheetView>
  </sheetViews>
  <sheetFormatPr baseColWidth="10" defaultColWidth="15.7109375" defaultRowHeight="15" x14ac:dyDescent="0.2"/>
  <cols>
    <col min="1" max="1" width="15.7109375" style="81"/>
    <col min="2" max="8" width="20.7109375" style="81" customWidth="1"/>
    <col min="9" max="9" width="24.28515625" style="81" customWidth="1"/>
    <col min="10" max="10" width="22.140625" style="81" customWidth="1"/>
    <col min="11" max="14" width="20.7109375" style="81" customWidth="1"/>
    <col min="15" max="16" width="20.7109375" style="83" customWidth="1"/>
    <col min="17" max="17" width="24.28515625" style="83" customWidth="1"/>
    <col min="18" max="26" width="20.7109375" style="83" customWidth="1"/>
    <col min="27" max="33" width="20.7109375" style="81" customWidth="1"/>
    <col min="34" max="34" width="19.85546875" style="81" bestFit="1" customWidth="1"/>
    <col min="35" max="38" width="15.85546875" style="81" bestFit="1" customWidth="1"/>
    <col min="39" max="43" width="16" style="81" customWidth="1"/>
    <col min="44" max="47" width="10.7109375" style="81" customWidth="1"/>
    <col min="48" max="48" width="16" style="81" bestFit="1" customWidth="1"/>
    <col min="49" max="49" width="15.85546875" style="81" bestFit="1" customWidth="1"/>
    <col min="50" max="50" width="20.7109375" style="81" bestFit="1" customWidth="1"/>
    <col min="51" max="51" width="15.85546875" style="81" bestFit="1" customWidth="1"/>
    <col min="52" max="52" width="15.7109375" style="81"/>
    <col min="53" max="53" width="20" style="81" customWidth="1"/>
    <col min="54" max="55" width="10.7109375" style="81" customWidth="1"/>
    <col min="56" max="16384" width="15.7109375" style="81"/>
  </cols>
  <sheetData>
    <row r="1" spans="2:83" ht="30" customHeight="1" x14ac:dyDescent="0.2">
      <c r="C1" s="82"/>
      <c r="D1" s="82"/>
      <c r="E1" s="82"/>
      <c r="F1" s="82"/>
      <c r="G1" s="82"/>
      <c r="H1" s="82"/>
      <c r="I1" s="82"/>
      <c r="J1" s="82"/>
      <c r="K1" s="82"/>
      <c r="L1" s="82"/>
      <c r="M1" s="82"/>
    </row>
    <row r="2" spans="2:83" ht="30" customHeight="1" thickBot="1" x14ac:dyDescent="0.25">
      <c r="B2" s="82"/>
      <c r="C2" s="82"/>
      <c r="D2" s="82"/>
      <c r="E2" s="82"/>
      <c r="F2" s="82"/>
      <c r="G2" s="82"/>
      <c r="H2" s="82"/>
      <c r="I2" s="82"/>
      <c r="J2" s="82"/>
      <c r="K2" s="82"/>
      <c r="L2" s="82"/>
      <c r="M2" s="82"/>
    </row>
    <row r="3" spans="2:83" ht="30" customHeight="1" x14ac:dyDescent="0.2">
      <c r="B3" s="82"/>
      <c r="C3" s="971" t="s">
        <v>131</v>
      </c>
      <c r="D3" s="972"/>
      <c r="E3" s="972"/>
      <c r="F3" s="972"/>
      <c r="G3" s="972"/>
      <c r="H3" s="972"/>
      <c r="I3" s="972"/>
      <c r="J3" s="972"/>
      <c r="K3" s="972"/>
      <c r="L3" s="972"/>
      <c r="M3" s="972"/>
      <c r="N3" s="973"/>
    </row>
    <row r="4" spans="2:83" ht="30" customHeight="1" thickBot="1" x14ac:dyDescent="0.25">
      <c r="B4" s="82"/>
      <c r="C4" s="974"/>
      <c r="D4" s="975"/>
      <c r="E4" s="975"/>
      <c r="F4" s="975"/>
      <c r="G4" s="975"/>
      <c r="H4" s="975"/>
      <c r="I4" s="975"/>
      <c r="J4" s="975"/>
      <c r="K4" s="975"/>
      <c r="L4" s="975"/>
      <c r="M4" s="975"/>
      <c r="N4" s="976"/>
    </row>
    <row r="5" spans="2:83" ht="30" customHeight="1" x14ac:dyDescent="0.2">
      <c r="B5" s="82"/>
      <c r="C5" s="987" t="s">
        <v>132</v>
      </c>
      <c r="D5" s="989" t="s">
        <v>7</v>
      </c>
      <c r="E5" s="989" t="s">
        <v>133</v>
      </c>
      <c r="F5" s="989" t="s">
        <v>8</v>
      </c>
      <c r="G5" s="989" t="s">
        <v>73</v>
      </c>
      <c r="H5" s="989" t="s">
        <v>406</v>
      </c>
      <c r="I5" s="989" t="s">
        <v>79</v>
      </c>
      <c r="J5" s="989" t="s">
        <v>239</v>
      </c>
      <c r="K5" s="989" t="s">
        <v>293</v>
      </c>
      <c r="L5" s="848"/>
      <c r="M5" s="990" t="s">
        <v>272</v>
      </c>
      <c r="N5" s="992" t="s">
        <v>273</v>
      </c>
    </row>
    <row r="6" spans="2:83" ht="30" customHeight="1" thickBot="1" x14ac:dyDescent="0.25">
      <c r="B6" s="82"/>
      <c r="C6" s="988"/>
      <c r="D6" s="984"/>
      <c r="E6" s="984"/>
      <c r="F6" s="984"/>
      <c r="G6" s="984"/>
      <c r="H6" s="984"/>
      <c r="I6" s="984"/>
      <c r="J6" s="984"/>
      <c r="K6" s="984"/>
      <c r="L6" s="849"/>
      <c r="M6" s="991" t="s">
        <v>272</v>
      </c>
      <c r="N6" s="993"/>
    </row>
    <row r="7" spans="2:83" ht="30" customHeight="1" x14ac:dyDescent="0.2">
      <c r="B7" s="82"/>
      <c r="C7" s="144"/>
      <c r="D7" s="145"/>
      <c r="E7" s="145"/>
      <c r="F7" s="145"/>
      <c r="G7" s="145"/>
      <c r="H7" s="145"/>
      <c r="I7" s="145"/>
      <c r="J7" s="145"/>
      <c r="K7" s="145"/>
      <c r="L7" s="146"/>
      <c r="M7" s="149"/>
      <c r="N7" s="146"/>
    </row>
    <row r="8" spans="2:83" s="89" customFormat="1" ht="75" customHeight="1" x14ac:dyDescent="0.2">
      <c r="B8" s="88"/>
      <c r="C8" s="399">
        <v>1</v>
      </c>
      <c r="D8" s="581"/>
      <c r="E8" s="582"/>
      <c r="F8" s="583"/>
      <c r="G8" s="583"/>
      <c r="H8" s="583"/>
      <c r="I8" s="582"/>
      <c r="J8" s="581" t="s">
        <v>452</v>
      </c>
      <c r="K8" s="581" t="s">
        <v>452</v>
      </c>
      <c r="L8" s="537"/>
      <c r="M8" s="538">
        <v>2</v>
      </c>
      <c r="N8" s="539">
        <v>0.95450000000000002</v>
      </c>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CD8" s="81"/>
      <c r="CE8" s="81"/>
    </row>
    <row r="9" spans="2:83" s="89" customFormat="1" ht="30" customHeight="1" thickBot="1" x14ac:dyDescent="0.25">
      <c r="B9" s="88"/>
      <c r="C9" s="90"/>
      <c r="D9" s="91"/>
      <c r="E9" s="91"/>
      <c r="F9" s="91"/>
      <c r="G9" s="91"/>
      <c r="H9" s="91"/>
      <c r="I9" s="91"/>
      <c r="J9" s="91"/>
      <c r="K9" s="91"/>
      <c r="L9" s="143"/>
      <c r="M9" s="147"/>
      <c r="N9" s="148"/>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CD9" s="81"/>
      <c r="CE9" s="81"/>
    </row>
    <row r="10" spans="2:83" s="89" customFormat="1" ht="30" customHeight="1" x14ac:dyDescent="0.2">
      <c r="B10" s="88"/>
      <c r="C10" s="88"/>
      <c r="D10" s="88"/>
      <c r="E10" s="88"/>
      <c r="F10" s="88"/>
      <c r="G10" s="88"/>
      <c r="H10" s="88"/>
      <c r="I10" s="88"/>
      <c r="J10" s="88"/>
      <c r="K10" s="88"/>
      <c r="L10" s="88"/>
      <c r="M10" s="82"/>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CD10" s="81"/>
      <c r="CE10" s="81"/>
    </row>
    <row r="11" spans="2:83" s="89" customFormat="1" ht="30" customHeight="1" thickBot="1" x14ac:dyDescent="0.25">
      <c r="B11" s="88"/>
      <c r="C11" s="88"/>
      <c r="D11" s="88"/>
      <c r="E11" s="88"/>
      <c r="F11" s="88"/>
      <c r="G11" s="88"/>
      <c r="H11" s="88"/>
      <c r="I11" s="88"/>
      <c r="J11" s="88"/>
      <c r="K11" s="88"/>
      <c r="L11" s="88"/>
      <c r="M11" s="82"/>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CD11" s="81"/>
      <c r="CE11" s="81"/>
    </row>
    <row r="12" spans="2:83" s="89" customFormat="1" ht="30" customHeight="1" x14ac:dyDescent="0.2">
      <c r="B12" s="88"/>
      <c r="C12" s="971" t="s">
        <v>219</v>
      </c>
      <c r="D12" s="972"/>
      <c r="E12" s="972"/>
      <c r="F12" s="972"/>
      <c r="G12" s="972"/>
      <c r="H12" s="972"/>
      <c r="I12" s="972"/>
      <c r="J12" s="972"/>
      <c r="K12" s="972"/>
      <c r="L12" s="973"/>
      <c r="M12" s="82"/>
      <c r="N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CD12" s="81"/>
      <c r="CE12" s="81"/>
    </row>
    <row r="13" spans="2:83" ht="30" customHeight="1" thickBot="1" x14ac:dyDescent="0.25">
      <c r="B13" s="88"/>
      <c r="C13" s="974"/>
      <c r="D13" s="975"/>
      <c r="E13" s="975"/>
      <c r="F13" s="975"/>
      <c r="G13" s="975"/>
      <c r="H13" s="975"/>
      <c r="I13" s="975"/>
      <c r="J13" s="975"/>
      <c r="K13" s="975"/>
      <c r="L13" s="976"/>
      <c r="M13" s="82"/>
    </row>
    <row r="14" spans="2:83" ht="30" customHeight="1" x14ac:dyDescent="0.2">
      <c r="B14" s="88"/>
      <c r="C14" s="977" t="s">
        <v>132</v>
      </c>
      <c r="D14" s="979" t="s">
        <v>3</v>
      </c>
      <c r="E14" s="979" t="s">
        <v>9</v>
      </c>
      <c r="F14" s="979" t="s">
        <v>1</v>
      </c>
      <c r="G14" s="981" t="s">
        <v>291</v>
      </c>
      <c r="H14" s="981" t="s">
        <v>47</v>
      </c>
      <c r="I14" s="979" t="s">
        <v>292</v>
      </c>
      <c r="J14" s="979" t="s">
        <v>368</v>
      </c>
      <c r="K14" s="983" t="s">
        <v>239</v>
      </c>
      <c r="L14" s="985" t="s">
        <v>293</v>
      </c>
      <c r="M14" s="82"/>
    </row>
    <row r="15" spans="2:83" ht="30" customHeight="1" thickBot="1" x14ac:dyDescent="0.25">
      <c r="B15" s="88"/>
      <c r="C15" s="978"/>
      <c r="D15" s="980"/>
      <c r="E15" s="980"/>
      <c r="F15" s="980"/>
      <c r="G15" s="982"/>
      <c r="H15" s="982"/>
      <c r="I15" s="980"/>
      <c r="J15" s="980"/>
      <c r="K15" s="984"/>
      <c r="L15" s="986"/>
      <c r="M15" s="82"/>
    </row>
    <row r="16" spans="2:83" ht="30" customHeight="1" x14ac:dyDescent="0.2">
      <c r="B16" s="88"/>
      <c r="C16" s="85"/>
      <c r="D16" s="86"/>
      <c r="E16" s="86"/>
      <c r="F16" s="86"/>
      <c r="G16" s="86"/>
      <c r="H16" s="86"/>
      <c r="I16" s="86"/>
      <c r="J16" s="86"/>
      <c r="K16" s="86"/>
      <c r="L16" s="87"/>
      <c r="M16" s="82"/>
    </row>
    <row r="17" spans="2:46" ht="30" customHeight="1" x14ac:dyDescent="0.2">
      <c r="B17" s="88"/>
      <c r="C17" s="399">
        <v>1</v>
      </c>
      <c r="D17" s="583"/>
      <c r="E17" s="583"/>
      <c r="F17" s="583"/>
      <c r="G17" s="704"/>
      <c r="H17" s="583"/>
      <c r="I17" s="583"/>
      <c r="J17" s="583"/>
      <c r="K17" s="579" t="str">
        <f>J8</f>
        <v>LCB -</v>
      </c>
      <c r="L17" s="580" t="str">
        <f>K8</f>
        <v>LCB -</v>
      </c>
      <c r="M17" s="82"/>
    </row>
    <row r="18" spans="2:46" ht="30" customHeight="1" thickBot="1" x14ac:dyDescent="0.25">
      <c r="B18" s="88"/>
      <c r="C18" s="92"/>
      <c r="D18" s="93"/>
      <c r="E18" s="93"/>
      <c r="F18" s="93"/>
      <c r="G18" s="94"/>
      <c r="H18" s="94"/>
      <c r="I18" s="93"/>
      <c r="J18" s="93"/>
      <c r="K18" s="94"/>
      <c r="L18" s="95"/>
      <c r="M18" s="82"/>
    </row>
    <row r="19" spans="2:46" ht="30" customHeight="1" x14ac:dyDescent="0.2">
      <c r="B19" s="88"/>
      <c r="C19" s="88"/>
      <c r="D19" s="88"/>
      <c r="E19" s="88"/>
      <c r="F19" s="88"/>
      <c r="G19" s="88"/>
      <c r="H19" s="88"/>
      <c r="I19" s="88"/>
      <c r="J19" s="88"/>
      <c r="K19" s="88"/>
      <c r="L19" s="88"/>
      <c r="M19" s="82"/>
    </row>
    <row r="20" spans="2:46" ht="30" customHeight="1" x14ac:dyDescent="0.2">
      <c r="B20" s="88"/>
      <c r="C20" s="88"/>
      <c r="D20" s="88"/>
      <c r="E20" s="88"/>
      <c r="F20" s="88"/>
      <c r="G20" s="88"/>
      <c r="H20" s="88"/>
      <c r="I20" s="88"/>
      <c r="J20" s="88"/>
      <c r="K20" s="88"/>
      <c r="L20" s="88"/>
      <c r="M20" s="82"/>
      <c r="AS20" s="88"/>
      <c r="AT20" s="82"/>
    </row>
    <row r="21" spans="2:46" ht="30" customHeight="1" x14ac:dyDescent="0.2">
      <c r="B21" s="88"/>
      <c r="C21" s="88"/>
      <c r="D21" s="88"/>
      <c r="E21" s="88"/>
      <c r="F21" s="88"/>
      <c r="G21" s="88"/>
      <c r="H21" s="88"/>
      <c r="I21" s="88"/>
      <c r="J21" s="88"/>
      <c r="K21" s="88"/>
      <c r="L21" s="88"/>
      <c r="M21" s="82"/>
      <c r="AS21" s="88"/>
      <c r="AT21" s="82"/>
    </row>
    <row r="22" spans="2:46" ht="30" customHeight="1" thickBot="1" x14ac:dyDescent="0.25">
      <c r="B22" s="88"/>
      <c r="C22" s="88"/>
      <c r="D22" s="88"/>
      <c r="E22" s="88"/>
      <c r="F22" s="88"/>
      <c r="G22" s="88"/>
      <c r="H22" s="88"/>
      <c r="I22" s="88"/>
      <c r="J22" s="88"/>
      <c r="K22" s="88"/>
      <c r="L22" s="88"/>
      <c r="M22" s="82"/>
      <c r="AS22" s="88"/>
      <c r="AT22" s="82"/>
    </row>
    <row r="23" spans="2:46" ht="30" customHeight="1" x14ac:dyDescent="0.2">
      <c r="B23" s="88"/>
      <c r="C23" s="971" t="s">
        <v>221</v>
      </c>
      <c r="D23" s="972"/>
      <c r="E23" s="972"/>
      <c r="F23" s="972"/>
      <c r="G23" s="972"/>
      <c r="H23" s="972"/>
      <c r="I23" s="972"/>
      <c r="J23" s="972"/>
      <c r="K23" s="972"/>
      <c r="L23" s="972"/>
      <c r="M23" s="972"/>
      <c r="N23" s="972"/>
      <c r="O23" s="972"/>
      <c r="P23" s="972"/>
      <c r="Q23" s="972"/>
      <c r="R23" s="973"/>
      <c r="AS23" s="88"/>
      <c r="AT23" s="82"/>
    </row>
    <row r="24" spans="2:46" ht="30" customHeight="1" thickBot="1" x14ac:dyDescent="0.25">
      <c r="B24" s="88"/>
      <c r="C24" s="974"/>
      <c r="D24" s="975"/>
      <c r="E24" s="975"/>
      <c r="F24" s="975"/>
      <c r="G24" s="975"/>
      <c r="H24" s="975"/>
      <c r="I24" s="975"/>
      <c r="J24" s="975"/>
      <c r="K24" s="975"/>
      <c r="L24" s="975"/>
      <c r="M24" s="975"/>
      <c r="N24" s="975"/>
      <c r="O24" s="975"/>
      <c r="P24" s="975"/>
      <c r="Q24" s="975"/>
      <c r="R24" s="976"/>
      <c r="AS24" s="88"/>
      <c r="AT24" s="82"/>
    </row>
    <row r="25" spans="2:46" ht="30" customHeight="1" x14ac:dyDescent="0.2">
      <c r="B25" s="88"/>
      <c r="C25" s="1009" t="s">
        <v>136</v>
      </c>
      <c r="D25" s="1011" t="s">
        <v>0</v>
      </c>
      <c r="E25" s="1011" t="s">
        <v>3</v>
      </c>
      <c r="F25" s="1011" t="s">
        <v>1</v>
      </c>
      <c r="G25" s="1011" t="s">
        <v>137</v>
      </c>
      <c r="H25" s="1011" t="s">
        <v>135</v>
      </c>
      <c r="I25" s="1007" t="s">
        <v>79</v>
      </c>
      <c r="J25" s="1007" t="s">
        <v>138</v>
      </c>
      <c r="K25" s="1013" t="s">
        <v>222</v>
      </c>
      <c r="L25" s="1013" t="s">
        <v>223</v>
      </c>
      <c r="M25" s="1011" t="s">
        <v>139</v>
      </c>
      <c r="N25" s="1013" t="s">
        <v>354</v>
      </c>
      <c r="O25" s="1007" t="s">
        <v>140</v>
      </c>
      <c r="P25" s="1007" t="s">
        <v>247</v>
      </c>
      <c r="Q25" s="1005" t="s">
        <v>141</v>
      </c>
      <c r="R25" s="997" t="s">
        <v>110</v>
      </c>
      <c r="AS25" s="88"/>
    </row>
    <row r="26" spans="2:46" ht="30" customHeight="1" thickBot="1" x14ac:dyDescent="0.25">
      <c r="B26" s="88"/>
      <c r="C26" s="1010"/>
      <c r="D26" s="1012"/>
      <c r="E26" s="1012"/>
      <c r="F26" s="1012"/>
      <c r="G26" s="1012"/>
      <c r="H26" s="1012"/>
      <c r="I26" s="1008"/>
      <c r="J26" s="1008"/>
      <c r="K26" s="1014"/>
      <c r="L26" s="1014"/>
      <c r="M26" s="1012"/>
      <c r="N26" s="1014"/>
      <c r="O26" s="1008"/>
      <c r="P26" s="1008"/>
      <c r="Q26" s="1006"/>
      <c r="R26" s="998"/>
      <c r="AS26" s="88"/>
    </row>
    <row r="27" spans="2:46" ht="30" customHeight="1" thickBot="1" x14ac:dyDescent="0.25">
      <c r="B27" s="88"/>
      <c r="C27" s="139"/>
      <c r="D27" s="105"/>
      <c r="E27" s="105"/>
      <c r="F27" s="105"/>
      <c r="G27" s="105"/>
      <c r="H27" s="105"/>
      <c r="I27" s="105"/>
      <c r="J27" s="105"/>
      <c r="K27" s="105"/>
      <c r="L27" s="105"/>
      <c r="M27" s="105"/>
      <c r="N27" s="105"/>
      <c r="O27" s="105"/>
      <c r="P27" s="105"/>
      <c r="Q27" s="140"/>
      <c r="R27" s="141"/>
      <c r="AS27" s="88"/>
    </row>
    <row r="28" spans="2:46" ht="30" customHeight="1" x14ac:dyDescent="0.2">
      <c r="B28" s="994" t="s">
        <v>438</v>
      </c>
      <c r="C28" s="707" t="s">
        <v>415</v>
      </c>
      <c r="D28" s="170" t="s">
        <v>220</v>
      </c>
      <c r="E28" s="170" t="s">
        <v>200</v>
      </c>
      <c r="F28" s="710">
        <v>27696</v>
      </c>
      <c r="G28" s="170" t="s">
        <v>201</v>
      </c>
      <c r="H28" s="710" t="s">
        <v>436</v>
      </c>
      <c r="I28" s="726">
        <v>43726</v>
      </c>
      <c r="J28" s="170">
        <v>5</v>
      </c>
      <c r="K28" s="170">
        <v>1</v>
      </c>
      <c r="L28" s="170">
        <v>1</v>
      </c>
      <c r="M28" s="727">
        <v>7.0000000000000007E-2</v>
      </c>
      <c r="N28" s="171">
        <f>J28+(M28)/1000</f>
        <v>5.00007</v>
      </c>
      <c r="O28" s="172">
        <v>5.2999999999999999E-2</v>
      </c>
      <c r="P28" s="711">
        <f>(0.34848*((752.6+754.7)/2)-0.009024*((44.6+52.7)/2)*EXP(0.0612*((20.5+21)/2)))/(273.15+((20.5+21)/2))</f>
        <v>0.88829136227968475</v>
      </c>
      <c r="Q28" s="170" t="s">
        <v>225</v>
      </c>
      <c r="R28" s="174" t="s">
        <v>280</v>
      </c>
      <c r="AS28" s="88"/>
    </row>
    <row r="29" spans="2:46" ht="30" customHeight="1" x14ac:dyDescent="0.2">
      <c r="B29" s="995"/>
      <c r="C29" s="708" t="s">
        <v>416</v>
      </c>
      <c r="D29" s="163" t="s">
        <v>220</v>
      </c>
      <c r="E29" s="163" t="s">
        <v>200</v>
      </c>
      <c r="F29" s="720">
        <v>27696</v>
      </c>
      <c r="G29" s="163" t="s">
        <v>201</v>
      </c>
      <c r="H29" s="720" t="s">
        <v>436</v>
      </c>
      <c r="I29" s="721">
        <v>43726</v>
      </c>
      <c r="J29" s="163">
        <v>200</v>
      </c>
      <c r="K29" s="163">
        <v>2</v>
      </c>
      <c r="L29" s="163">
        <v>2</v>
      </c>
      <c r="M29" s="720">
        <v>0.1</v>
      </c>
      <c r="N29" s="176">
        <f t="shared" ref="N29:N32" si="0">J29+(M29)/1000</f>
        <v>200.0001</v>
      </c>
      <c r="O29" s="165">
        <v>0.33</v>
      </c>
      <c r="P29" s="712">
        <f t="shared" ref="P29:P32" si="1">(0.34848*((752.6+754.7)/2)-0.009024*((44.6+52.7)/2)*EXP(0.0612*((20.5+21)/2)))/(273.15+((20.5+21)/2))</f>
        <v>0.88829136227968475</v>
      </c>
      <c r="Q29" s="163" t="s">
        <v>225</v>
      </c>
      <c r="R29" s="177" t="s">
        <v>280</v>
      </c>
      <c r="AS29" s="88"/>
    </row>
    <row r="30" spans="2:46" ht="30" customHeight="1" x14ac:dyDescent="0.2">
      <c r="B30" s="995"/>
      <c r="C30" s="708" t="s">
        <v>417</v>
      </c>
      <c r="D30" s="163" t="s">
        <v>220</v>
      </c>
      <c r="E30" s="163" t="s">
        <v>200</v>
      </c>
      <c r="F30" s="720">
        <v>27696</v>
      </c>
      <c r="G30" s="163" t="s">
        <v>201</v>
      </c>
      <c r="H30" s="720" t="s">
        <v>436</v>
      </c>
      <c r="I30" s="721">
        <v>43726</v>
      </c>
      <c r="J30" s="163">
        <v>1000</v>
      </c>
      <c r="K30" s="163">
        <v>5</v>
      </c>
      <c r="L30" s="163">
        <v>5</v>
      </c>
      <c r="M30" s="720">
        <v>-0.6</v>
      </c>
      <c r="N30" s="502">
        <f t="shared" si="0"/>
        <v>999.99940000000004</v>
      </c>
      <c r="O30" s="165">
        <v>1.6</v>
      </c>
      <c r="P30" s="712">
        <f t="shared" si="1"/>
        <v>0.88829136227968475</v>
      </c>
      <c r="Q30" s="163" t="s">
        <v>225</v>
      </c>
      <c r="R30" s="177" t="s">
        <v>280</v>
      </c>
      <c r="AS30" s="88"/>
    </row>
    <row r="31" spans="2:46" ht="30" customHeight="1" x14ac:dyDescent="0.2">
      <c r="B31" s="995"/>
      <c r="C31" s="708" t="s">
        <v>418</v>
      </c>
      <c r="D31" s="163" t="s">
        <v>220</v>
      </c>
      <c r="E31" s="163" t="s">
        <v>200</v>
      </c>
      <c r="F31" s="720">
        <v>27696</v>
      </c>
      <c r="G31" s="163" t="s">
        <v>201</v>
      </c>
      <c r="H31" s="720" t="s">
        <v>436</v>
      </c>
      <c r="I31" s="721">
        <v>43726</v>
      </c>
      <c r="J31" s="163">
        <v>2000</v>
      </c>
      <c r="K31" s="163">
        <v>10</v>
      </c>
      <c r="L31" s="163">
        <v>10</v>
      </c>
      <c r="M31" s="720">
        <v>3.5</v>
      </c>
      <c r="N31" s="502">
        <f t="shared" si="0"/>
        <v>2000.0035</v>
      </c>
      <c r="O31" s="165">
        <v>3</v>
      </c>
      <c r="P31" s="712">
        <f t="shared" si="1"/>
        <v>0.88829136227968475</v>
      </c>
      <c r="Q31" s="163" t="s">
        <v>225</v>
      </c>
      <c r="R31" s="177" t="s">
        <v>280</v>
      </c>
      <c r="AS31" s="88"/>
    </row>
    <row r="32" spans="2:46" ht="30" customHeight="1" thickBot="1" x14ac:dyDescent="0.25">
      <c r="B32" s="996"/>
      <c r="C32" s="708" t="s">
        <v>419</v>
      </c>
      <c r="D32" s="163" t="s">
        <v>220</v>
      </c>
      <c r="E32" s="163" t="s">
        <v>200</v>
      </c>
      <c r="F32" s="720">
        <v>27696</v>
      </c>
      <c r="G32" s="163" t="s">
        <v>201</v>
      </c>
      <c r="H32" s="720" t="s">
        <v>436</v>
      </c>
      <c r="I32" s="721">
        <v>43726</v>
      </c>
      <c r="J32" s="163">
        <v>5000</v>
      </c>
      <c r="K32" s="163">
        <v>20</v>
      </c>
      <c r="L32" s="163">
        <v>20</v>
      </c>
      <c r="M32" s="720">
        <v>3.6</v>
      </c>
      <c r="N32" s="502">
        <f t="shared" si="0"/>
        <v>5000.0036</v>
      </c>
      <c r="O32" s="165">
        <v>8</v>
      </c>
      <c r="P32" s="712">
        <f t="shared" si="1"/>
        <v>0.88829136227968475</v>
      </c>
      <c r="Q32" s="163" t="s">
        <v>225</v>
      </c>
      <c r="R32" s="177" t="s">
        <v>280</v>
      </c>
      <c r="AS32" s="88"/>
    </row>
    <row r="33" spans="2:45" ht="30" customHeight="1" x14ac:dyDescent="0.2">
      <c r="B33" s="97"/>
      <c r="C33" s="175"/>
      <c r="D33" s="163"/>
      <c r="E33" s="163"/>
      <c r="F33" s="163"/>
      <c r="G33" s="163"/>
      <c r="H33" s="163"/>
      <c r="I33" s="722"/>
      <c r="J33" s="163"/>
      <c r="K33" s="163">
        <v>50</v>
      </c>
      <c r="L33" s="163">
        <v>50</v>
      </c>
      <c r="M33" s="163"/>
      <c r="N33" s="164"/>
      <c r="O33" s="163"/>
      <c r="P33" s="163"/>
      <c r="Q33" s="163"/>
      <c r="R33" s="177"/>
      <c r="AS33" s="88"/>
    </row>
    <row r="34" spans="2:45" ht="30" customHeight="1" x14ac:dyDescent="0.2">
      <c r="B34" s="97"/>
      <c r="C34" s="175"/>
      <c r="D34" s="163"/>
      <c r="E34" s="163"/>
      <c r="F34" s="163"/>
      <c r="G34" s="163"/>
      <c r="H34" s="163"/>
      <c r="I34" s="722"/>
      <c r="J34" s="163"/>
      <c r="K34" s="163">
        <v>100</v>
      </c>
      <c r="L34" s="163">
        <v>100</v>
      </c>
      <c r="M34" s="163"/>
      <c r="N34" s="164"/>
      <c r="O34" s="163"/>
      <c r="P34" s="163"/>
      <c r="Q34" s="163"/>
      <c r="R34" s="177"/>
      <c r="AS34" s="88"/>
    </row>
    <row r="35" spans="2:45" ht="30" customHeight="1" x14ac:dyDescent="0.2">
      <c r="B35" s="97"/>
      <c r="C35" s="175"/>
      <c r="D35" s="163"/>
      <c r="E35" s="163"/>
      <c r="F35" s="163"/>
      <c r="G35" s="163"/>
      <c r="H35" s="163"/>
      <c r="I35" s="722"/>
      <c r="J35" s="163"/>
      <c r="K35" s="163">
        <v>200</v>
      </c>
      <c r="L35" s="163">
        <v>200</v>
      </c>
      <c r="M35" s="163"/>
      <c r="N35" s="164"/>
      <c r="O35" s="163"/>
      <c r="P35" s="163"/>
      <c r="Q35" s="163"/>
      <c r="R35" s="177"/>
      <c r="AS35" s="88"/>
    </row>
    <row r="36" spans="2:45" ht="30" customHeight="1" thickBot="1" x14ac:dyDescent="0.25">
      <c r="B36" s="97"/>
      <c r="C36" s="178"/>
      <c r="D36" s="167"/>
      <c r="E36" s="167"/>
      <c r="F36" s="167"/>
      <c r="G36" s="167"/>
      <c r="H36" s="167"/>
      <c r="I36" s="728"/>
      <c r="J36" s="167"/>
      <c r="K36" s="167">
        <v>500</v>
      </c>
      <c r="L36" s="167">
        <v>500</v>
      </c>
      <c r="M36" s="167"/>
      <c r="N36" s="168"/>
      <c r="O36" s="167"/>
      <c r="P36" s="167"/>
      <c r="Q36" s="167"/>
      <c r="R36" s="180"/>
      <c r="AS36" s="88"/>
    </row>
    <row r="37" spans="2:45" ht="30" customHeight="1" thickBot="1" x14ac:dyDescent="0.25">
      <c r="B37" s="88"/>
      <c r="C37" s="746"/>
      <c r="D37" s="729"/>
      <c r="E37" s="729"/>
      <c r="F37" s="729"/>
      <c r="G37" s="729"/>
      <c r="H37" s="729"/>
      <c r="I37" s="729"/>
      <c r="J37" s="729"/>
      <c r="K37" s="730">
        <v>1000</v>
      </c>
      <c r="L37" s="731">
        <v>1000</v>
      </c>
      <c r="M37" s="729"/>
      <c r="N37" s="729"/>
      <c r="O37" s="729"/>
      <c r="P37" s="732"/>
      <c r="Q37" s="729"/>
      <c r="R37" s="747"/>
      <c r="AS37" s="88"/>
    </row>
    <row r="38" spans="2:45" ht="30" customHeight="1" x14ac:dyDescent="0.2">
      <c r="B38" s="1004"/>
      <c r="C38" s="169" t="s">
        <v>142</v>
      </c>
      <c r="D38" s="170" t="s">
        <v>143</v>
      </c>
      <c r="E38" s="170" t="s">
        <v>129</v>
      </c>
      <c r="F38" s="170">
        <v>27129360</v>
      </c>
      <c r="G38" s="170" t="s">
        <v>144</v>
      </c>
      <c r="H38" s="170" t="s">
        <v>281</v>
      </c>
      <c r="I38" s="733">
        <v>43228</v>
      </c>
      <c r="J38" s="170">
        <v>1</v>
      </c>
      <c r="K38" s="734">
        <v>2000</v>
      </c>
      <c r="L38" s="170">
        <v>2000</v>
      </c>
      <c r="M38" s="170">
        <v>8.9999999999999993E-3</v>
      </c>
      <c r="N38" s="171">
        <f>J38+(M38)/1000</f>
        <v>1.0000089999999999</v>
      </c>
      <c r="O38" s="181">
        <v>0.01</v>
      </c>
      <c r="P38" s="173">
        <f>(0.34848*((751.2+755.4)/2)-0.009024*((48.4+57.9)/2)*EXP(0.0612*((19.5+20.7)/2)))/(273.15+((19.5+20.7)/2))</f>
        <v>0.88957844095478944</v>
      </c>
      <c r="Q38" s="170" t="s">
        <v>145</v>
      </c>
      <c r="R38" s="174" t="s">
        <v>229</v>
      </c>
      <c r="AS38" s="88"/>
    </row>
    <row r="39" spans="2:45" ht="30" customHeight="1" x14ac:dyDescent="0.2">
      <c r="B39" s="1002"/>
      <c r="C39" s="175" t="s">
        <v>146</v>
      </c>
      <c r="D39" s="163" t="s">
        <v>143</v>
      </c>
      <c r="E39" s="163" t="s">
        <v>129</v>
      </c>
      <c r="F39" s="163">
        <v>27129360</v>
      </c>
      <c r="G39" s="163" t="s">
        <v>147</v>
      </c>
      <c r="H39" s="163" t="s">
        <v>281</v>
      </c>
      <c r="I39" s="722">
        <v>43228</v>
      </c>
      <c r="J39" s="163">
        <v>2</v>
      </c>
      <c r="K39" s="723">
        <v>4000</v>
      </c>
      <c r="L39" s="163">
        <v>5000</v>
      </c>
      <c r="M39" s="183">
        <v>0.01</v>
      </c>
      <c r="N39" s="182">
        <f t="shared" ref="N39:N88" si="2">J39+(M39)/1000</f>
        <v>2.0000100000000001</v>
      </c>
      <c r="O39" s="163">
        <v>1.2E-2</v>
      </c>
      <c r="P39" s="164">
        <f>(0.34848*((751.2+755.4)/2)-0.009024*((48.4+57.9)/2)*EXP(0.0612*((19.5+20.7)/2)))/(273.15+((19.5+20.7)/2))</f>
        <v>0.88957844095478944</v>
      </c>
      <c r="Q39" s="163" t="str">
        <f t="shared" ref="Q39:Q54" si="3">Q38</f>
        <v>M-001</v>
      </c>
      <c r="R39" s="177" t="s">
        <v>229</v>
      </c>
      <c r="AS39" s="88"/>
    </row>
    <row r="40" spans="2:45" ht="30" customHeight="1" x14ac:dyDescent="0.2">
      <c r="B40" s="1002"/>
      <c r="C40" s="175" t="s">
        <v>321</v>
      </c>
      <c r="D40" s="163" t="s">
        <v>143</v>
      </c>
      <c r="E40" s="163" t="s">
        <v>129</v>
      </c>
      <c r="F40" s="163">
        <v>27129360</v>
      </c>
      <c r="G40" s="163" t="s">
        <v>148</v>
      </c>
      <c r="H40" s="163" t="s">
        <v>281</v>
      </c>
      <c r="I40" s="722">
        <v>43228</v>
      </c>
      <c r="J40" s="163">
        <v>2</v>
      </c>
      <c r="K40" s="723">
        <v>5000</v>
      </c>
      <c r="L40" s="163">
        <v>8000</v>
      </c>
      <c r="M40" s="163">
        <v>1.7000000000000001E-2</v>
      </c>
      <c r="N40" s="182">
        <f t="shared" si="2"/>
        <v>2.0000170000000002</v>
      </c>
      <c r="O40" s="163">
        <v>1.2E-2</v>
      </c>
      <c r="P40" s="164">
        <f>(0.34848*((751.2+755.4)/2)-0.009024*((48.4+57.9)/2)*EXP(0.0612*((19.5+20.7)/2)))/(273.15+((19.5+20.7)/2))</f>
        <v>0.88957844095478944</v>
      </c>
      <c r="Q40" s="163" t="str">
        <f t="shared" si="3"/>
        <v>M-001</v>
      </c>
      <c r="R40" s="177" t="s">
        <v>229</v>
      </c>
      <c r="AS40" s="88"/>
    </row>
    <row r="41" spans="2:45" ht="30" customHeight="1" x14ac:dyDescent="0.2">
      <c r="B41" s="1002"/>
      <c r="C41" s="175" t="s">
        <v>149</v>
      </c>
      <c r="D41" s="163" t="s">
        <v>143</v>
      </c>
      <c r="E41" s="163" t="s">
        <v>129</v>
      </c>
      <c r="F41" s="163">
        <v>27129360</v>
      </c>
      <c r="G41" s="163" t="s">
        <v>150</v>
      </c>
      <c r="H41" s="163" t="s">
        <v>281</v>
      </c>
      <c r="I41" s="722">
        <v>43228</v>
      </c>
      <c r="J41" s="163">
        <v>5</v>
      </c>
      <c r="K41" s="723">
        <v>10000</v>
      </c>
      <c r="L41" s="163">
        <v>8200</v>
      </c>
      <c r="M41" s="183">
        <v>2E-3</v>
      </c>
      <c r="N41" s="182">
        <f t="shared" si="2"/>
        <v>5.0000020000000003</v>
      </c>
      <c r="O41" s="163">
        <v>1.6E-2</v>
      </c>
      <c r="P41" s="164">
        <f>(0.34848*((751.2+755.4)/2)-0.009024*((48.4+57.9)/2)*EXP(0.0612*((19.5+20.7)/2)))/(273.15+((19.5+20.7)/2))</f>
        <v>0.88957844095478944</v>
      </c>
      <c r="Q41" s="163" t="str">
        <f t="shared" si="3"/>
        <v>M-001</v>
      </c>
      <c r="R41" s="177" t="s">
        <v>229</v>
      </c>
      <c r="AS41" s="88"/>
    </row>
    <row r="42" spans="2:45" ht="30" customHeight="1" x14ac:dyDescent="0.2">
      <c r="B42" s="1002"/>
      <c r="C42" s="175" t="s">
        <v>151</v>
      </c>
      <c r="D42" s="163" t="s">
        <v>143</v>
      </c>
      <c r="E42" s="163" t="s">
        <v>129</v>
      </c>
      <c r="F42" s="163">
        <v>27129360</v>
      </c>
      <c r="G42" s="163" t="s">
        <v>152</v>
      </c>
      <c r="H42" s="163" t="s">
        <v>281</v>
      </c>
      <c r="I42" s="722">
        <v>43228</v>
      </c>
      <c r="J42" s="163">
        <v>10</v>
      </c>
      <c r="K42" s="723">
        <v>15000</v>
      </c>
      <c r="L42" s="163">
        <v>10000</v>
      </c>
      <c r="M42" s="163">
        <v>1.9E-2</v>
      </c>
      <c r="N42" s="182">
        <f t="shared" si="2"/>
        <v>10.000019</v>
      </c>
      <c r="O42" s="183">
        <v>0.02</v>
      </c>
      <c r="P42" s="164">
        <f t="shared" ref="P42:P54" si="4">(0.34848*((751.2+755.4)/2)-0.009024*((48.4+57.9)/2)*EXP(0.0612*((19.5+20.7)/2)))/(273.15+((19.5+20.7)/2))</f>
        <v>0.88957844095478944</v>
      </c>
      <c r="Q42" s="163" t="str">
        <f t="shared" si="3"/>
        <v>M-001</v>
      </c>
      <c r="R42" s="177" t="s">
        <v>229</v>
      </c>
      <c r="AS42" s="88"/>
    </row>
    <row r="43" spans="2:45" ht="30" customHeight="1" x14ac:dyDescent="0.2">
      <c r="B43" s="1002"/>
      <c r="C43" s="175" t="s">
        <v>153</v>
      </c>
      <c r="D43" s="163" t="s">
        <v>143</v>
      </c>
      <c r="E43" s="163" t="s">
        <v>129</v>
      </c>
      <c r="F43" s="163">
        <v>27129360</v>
      </c>
      <c r="G43" s="163" t="s">
        <v>154</v>
      </c>
      <c r="H43" s="163" t="s">
        <v>281</v>
      </c>
      <c r="I43" s="722">
        <v>43228</v>
      </c>
      <c r="J43" s="163">
        <v>20</v>
      </c>
      <c r="K43" s="723">
        <v>20000</v>
      </c>
      <c r="L43" s="163">
        <v>15000</v>
      </c>
      <c r="M43" s="163">
        <v>2.5999999999999999E-2</v>
      </c>
      <c r="N43" s="182">
        <f t="shared" si="2"/>
        <v>20.000025999999998</v>
      </c>
      <c r="O43" s="163">
        <v>2.5000000000000001E-2</v>
      </c>
      <c r="P43" s="164">
        <f t="shared" si="4"/>
        <v>0.88957844095478944</v>
      </c>
      <c r="Q43" s="163" t="str">
        <f t="shared" si="3"/>
        <v>M-001</v>
      </c>
      <c r="R43" s="177" t="s">
        <v>229</v>
      </c>
      <c r="AS43" s="88"/>
    </row>
    <row r="44" spans="2:45" ht="30" customHeight="1" x14ac:dyDescent="0.2">
      <c r="B44" s="1002"/>
      <c r="C44" s="175" t="s">
        <v>322</v>
      </c>
      <c r="D44" s="163" t="s">
        <v>143</v>
      </c>
      <c r="E44" s="163" t="s">
        <v>129</v>
      </c>
      <c r="F44" s="163">
        <v>27129360</v>
      </c>
      <c r="G44" s="163" t="s">
        <v>155</v>
      </c>
      <c r="H44" s="163" t="s">
        <v>281</v>
      </c>
      <c r="I44" s="722">
        <v>43228</v>
      </c>
      <c r="J44" s="163">
        <v>20</v>
      </c>
      <c r="K44" s="723">
        <v>25000</v>
      </c>
      <c r="L44" s="163">
        <v>20000</v>
      </c>
      <c r="M44" s="163">
        <v>7.0000000000000001E-3</v>
      </c>
      <c r="N44" s="182">
        <f t="shared" si="2"/>
        <v>20.000007</v>
      </c>
      <c r="O44" s="163">
        <v>2.5000000000000001E-2</v>
      </c>
      <c r="P44" s="164">
        <f t="shared" si="4"/>
        <v>0.88957844095478944</v>
      </c>
      <c r="Q44" s="163" t="str">
        <f t="shared" si="3"/>
        <v>M-001</v>
      </c>
      <c r="R44" s="177" t="s">
        <v>229</v>
      </c>
      <c r="AS44" s="88"/>
    </row>
    <row r="45" spans="2:45" ht="30" customHeight="1" x14ac:dyDescent="0.2">
      <c r="B45" s="1002"/>
      <c r="C45" s="175" t="s">
        <v>156</v>
      </c>
      <c r="D45" s="163" t="s">
        <v>143</v>
      </c>
      <c r="E45" s="163" t="s">
        <v>129</v>
      </c>
      <c r="F45" s="163">
        <v>27129360</v>
      </c>
      <c r="G45" s="163" t="s">
        <v>157</v>
      </c>
      <c r="H45" s="163" t="s">
        <v>281</v>
      </c>
      <c r="I45" s="722">
        <v>43228</v>
      </c>
      <c r="J45" s="163">
        <v>50</v>
      </c>
      <c r="K45" s="723">
        <v>30000</v>
      </c>
      <c r="L45" s="163">
        <v>25000</v>
      </c>
      <c r="M45" s="163">
        <v>0.03</v>
      </c>
      <c r="N45" s="176">
        <f t="shared" si="2"/>
        <v>50.000030000000002</v>
      </c>
      <c r="O45" s="163">
        <v>0.03</v>
      </c>
      <c r="P45" s="164">
        <f t="shared" si="4"/>
        <v>0.88957844095478944</v>
      </c>
      <c r="Q45" s="163" t="str">
        <f t="shared" si="3"/>
        <v>M-001</v>
      </c>
      <c r="R45" s="177" t="s">
        <v>229</v>
      </c>
      <c r="AS45" s="88"/>
    </row>
    <row r="46" spans="2:45" ht="30" customHeight="1" x14ac:dyDescent="0.2">
      <c r="B46" s="1002"/>
      <c r="C46" s="175" t="s">
        <v>158</v>
      </c>
      <c r="D46" s="163" t="s">
        <v>143</v>
      </c>
      <c r="E46" s="163" t="s">
        <v>129</v>
      </c>
      <c r="F46" s="163">
        <v>27129360</v>
      </c>
      <c r="G46" s="163" t="s">
        <v>159</v>
      </c>
      <c r="H46" s="163" t="s">
        <v>281</v>
      </c>
      <c r="I46" s="722">
        <v>43228</v>
      </c>
      <c r="J46" s="163">
        <v>100</v>
      </c>
      <c r="K46" s="723">
        <v>35000</v>
      </c>
      <c r="L46" s="724">
        <v>35000</v>
      </c>
      <c r="M46" s="163">
        <v>0.06</v>
      </c>
      <c r="N46" s="176">
        <f t="shared" si="2"/>
        <v>100.00006</v>
      </c>
      <c r="O46" s="163">
        <v>0.05</v>
      </c>
      <c r="P46" s="164">
        <f t="shared" si="4"/>
        <v>0.88957844095478944</v>
      </c>
      <c r="Q46" s="163" t="str">
        <f t="shared" si="3"/>
        <v>M-001</v>
      </c>
      <c r="R46" s="177" t="s">
        <v>229</v>
      </c>
      <c r="AS46" s="88"/>
    </row>
    <row r="47" spans="2:45" ht="30" customHeight="1" x14ac:dyDescent="0.2">
      <c r="B47" s="1002"/>
      <c r="C47" s="175" t="s">
        <v>160</v>
      </c>
      <c r="D47" s="163" t="s">
        <v>143</v>
      </c>
      <c r="E47" s="163" t="s">
        <v>129</v>
      </c>
      <c r="F47" s="163">
        <v>27129360</v>
      </c>
      <c r="G47" s="163" t="s">
        <v>161</v>
      </c>
      <c r="H47" s="163" t="s">
        <v>281</v>
      </c>
      <c r="I47" s="722">
        <v>43228</v>
      </c>
      <c r="J47" s="163">
        <v>200</v>
      </c>
      <c r="K47" s="723">
        <v>40000</v>
      </c>
      <c r="L47" s="724">
        <v>40000</v>
      </c>
      <c r="M47" s="163">
        <v>-7.0000000000000007E-2</v>
      </c>
      <c r="N47" s="176">
        <f t="shared" si="2"/>
        <v>199.99993000000001</v>
      </c>
      <c r="O47" s="166">
        <v>0.1</v>
      </c>
      <c r="P47" s="164">
        <f t="shared" si="4"/>
        <v>0.88957844095478944</v>
      </c>
      <c r="Q47" s="163" t="str">
        <f t="shared" si="3"/>
        <v>M-001</v>
      </c>
      <c r="R47" s="177" t="s">
        <v>229</v>
      </c>
      <c r="AS47" s="88"/>
    </row>
    <row r="48" spans="2:45" ht="30" customHeight="1" x14ac:dyDescent="0.2">
      <c r="B48" s="1002"/>
      <c r="C48" s="175" t="s">
        <v>323</v>
      </c>
      <c r="D48" s="163" t="s">
        <v>143</v>
      </c>
      <c r="E48" s="163" t="s">
        <v>129</v>
      </c>
      <c r="F48" s="163">
        <v>27129360</v>
      </c>
      <c r="G48" s="163" t="s">
        <v>162</v>
      </c>
      <c r="H48" s="163" t="s">
        <v>281</v>
      </c>
      <c r="I48" s="722">
        <v>43228</v>
      </c>
      <c r="J48" s="163">
        <v>200</v>
      </c>
      <c r="K48" s="723"/>
      <c r="L48" s="724">
        <v>45000</v>
      </c>
      <c r="M48" s="163">
        <v>0.15</v>
      </c>
      <c r="N48" s="176">
        <f t="shared" si="2"/>
        <v>200.00014999999999</v>
      </c>
      <c r="O48" s="166">
        <v>0.1</v>
      </c>
      <c r="P48" s="164">
        <f t="shared" si="4"/>
        <v>0.88957844095478944</v>
      </c>
      <c r="Q48" s="163" t="str">
        <f t="shared" si="3"/>
        <v>M-001</v>
      </c>
      <c r="R48" s="177" t="s">
        <v>229</v>
      </c>
      <c r="AS48" s="88"/>
    </row>
    <row r="49" spans="2:48" ht="30" customHeight="1" x14ac:dyDescent="0.2">
      <c r="B49" s="1002"/>
      <c r="C49" s="175" t="s">
        <v>163</v>
      </c>
      <c r="D49" s="163" t="s">
        <v>143</v>
      </c>
      <c r="E49" s="163" t="s">
        <v>129</v>
      </c>
      <c r="F49" s="163">
        <v>27129360</v>
      </c>
      <c r="G49" s="163" t="s">
        <v>164</v>
      </c>
      <c r="H49" s="163" t="s">
        <v>281</v>
      </c>
      <c r="I49" s="722">
        <v>43228</v>
      </c>
      <c r="J49" s="163">
        <v>500</v>
      </c>
      <c r="K49" s="723"/>
      <c r="L49" s="724">
        <v>50000</v>
      </c>
      <c r="M49" s="163">
        <v>0.33</v>
      </c>
      <c r="N49" s="176">
        <f t="shared" si="2"/>
        <v>500.00033000000002</v>
      </c>
      <c r="O49" s="163">
        <v>0.25</v>
      </c>
      <c r="P49" s="164">
        <f t="shared" si="4"/>
        <v>0.88957844095478944</v>
      </c>
      <c r="Q49" s="163" t="str">
        <f t="shared" si="3"/>
        <v>M-001</v>
      </c>
      <c r="R49" s="177" t="s">
        <v>229</v>
      </c>
      <c r="AS49" s="88"/>
    </row>
    <row r="50" spans="2:48" ht="30" customHeight="1" x14ac:dyDescent="0.2">
      <c r="B50" s="1002"/>
      <c r="C50" s="175" t="s">
        <v>165</v>
      </c>
      <c r="D50" s="163" t="s">
        <v>143</v>
      </c>
      <c r="E50" s="163" t="s">
        <v>129</v>
      </c>
      <c r="F50" s="163">
        <v>27129360</v>
      </c>
      <c r="G50" s="163" t="s">
        <v>166</v>
      </c>
      <c r="H50" s="163" t="s">
        <v>281</v>
      </c>
      <c r="I50" s="722">
        <v>43228</v>
      </c>
      <c r="J50" s="723">
        <v>1000</v>
      </c>
      <c r="K50" s="725"/>
      <c r="L50" s="724">
        <v>55000</v>
      </c>
      <c r="M50" s="163">
        <v>0.7</v>
      </c>
      <c r="N50" s="164">
        <f t="shared" si="2"/>
        <v>1000.0007000000001</v>
      </c>
      <c r="O50" s="163">
        <v>0.5</v>
      </c>
      <c r="P50" s="164">
        <f t="shared" si="4"/>
        <v>0.88957844095478944</v>
      </c>
      <c r="Q50" s="163" t="str">
        <f t="shared" si="3"/>
        <v>M-001</v>
      </c>
      <c r="R50" s="177" t="s">
        <v>229</v>
      </c>
      <c r="AS50" s="88"/>
    </row>
    <row r="51" spans="2:48" ht="30" customHeight="1" x14ac:dyDescent="0.2">
      <c r="B51" s="1002"/>
      <c r="C51" s="175" t="s">
        <v>167</v>
      </c>
      <c r="D51" s="163" t="s">
        <v>143</v>
      </c>
      <c r="E51" s="163" t="s">
        <v>129</v>
      </c>
      <c r="F51" s="163">
        <v>27129360</v>
      </c>
      <c r="G51" s="163" t="s">
        <v>168</v>
      </c>
      <c r="H51" s="163" t="s">
        <v>281</v>
      </c>
      <c r="I51" s="722">
        <v>43228</v>
      </c>
      <c r="J51" s="723">
        <v>2000</v>
      </c>
      <c r="K51" s="725"/>
      <c r="L51" s="724"/>
      <c r="M51" s="163">
        <v>1.1000000000000001</v>
      </c>
      <c r="N51" s="164">
        <f t="shared" si="2"/>
        <v>2000.0011</v>
      </c>
      <c r="O51" s="165">
        <v>1</v>
      </c>
      <c r="P51" s="164">
        <f t="shared" si="4"/>
        <v>0.88957844095478944</v>
      </c>
      <c r="Q51" s="163" t="str">
        <f t="shared" si="3"/>
        <v>M-001</v>
      </c>
      <c r="R51" s="177" t="s">
        <v>229</v>
      </c>
      <c r="AS51" s="88"/>
    </row>
    <row r="52" spans="2:48" ht="30" customHeight="1" x14ac:dyDescent="0.2">
      <c r="B52" s="1002"/>
      <c r="C52" s="175" t="s">
        <v>324</v>
      </c>
      <c r="D52" s="163" t="s">
        <v>143</v>
      </c>
      <c r="E52" s="163" t="s">
        <v>129</v>
      </c>
      <c r="F52" s="163">
        <v>27129360</v>
      </c>
      <c r="G52" s="163" t="s">
        <v>169</v>
      </c>
      <c r="H52" s="163" t="s">
        <v>281</v>
      </c>
      <c r="I52" s="722">
        <v>43228</v>
      </c>
      <c r="J52" s="723">
        <v>2000</v>
      </c>
      <c r="K52" s="724"/>
      <c r="L52" s="724"/>
      <c r="M52" s="165">
        <v>1</v>
      </c>
      <c r="N52" s="164">
        <f t="shared" si="2"/>
        <v>2000.001</v>
      </c>
      <c r="O52" s="165">
        <v>1</v>
      </c>
      <c r="P52" s="164">
        <f t="shared" si="4"/>
        <v>0.88957844095478944</v>
      </c>
      <c r="Q52" s="163" t="str">
        <f t="shared" si="3"/>
        <v>M-001</v>
      </c>
      <c r="R52" s="177" t="s">
        <v>229</v>
      </c>
      <c r="AS52" s="88"/>
    </row>
    <row r="53" spans="2:48" ht="30" customHeight="1" x14ac:dyDescent="0.2">
      <c r="B53" s="1002"/>
      <c r="C53" s="175" t="s">
        <v>170</v>
      </c>
      <c r="D53" s="163" t="s">
        <v>143</v>
      </c>
      <c r="E53" s="163" t="s">
        <v>129</v>
      </c>
      <c r="F53" s="163">
        <v>27129360</v>
      </c>
      <c r="G53" s="163" t="s">
        <v>171</v>
      </c>
      <c r="H53" s="163" t="s">
        <v>281</v>
      </c>
      <c r="I53" s="722">
        <v>43228</v>
      </c>
      <c r="J53" s="723">
        <v>5000</v>
      </c>
      <c r="K53" s="724"/>
      <c r="L53" s="725"/>
      <c r="M53" s="163">
        <v>3.5</v>
      </c>
      <c r="N53" s="164">
        <f t="shared" si="2"/>
        <v>5000.0034999999998</v>
      </c>
      <c r="O53" s="163">
        <v>2.5</v>
      </c>
      <c r="P53" s="164">
        <f t="shared" si="4"/>
        <v>0.88957844095478944</v>
      </c>
      <c r="Q53" s="163" t="str">
        <f t="shared" si="3"/>
        <v>M-001</v>
      </c>
      <c r="R53" s="177" t="s">
        <v>229</v>
      </c>
      <c r="AS53" s="88"/>
    </row>
    <row r="54" spans="2:48" ht="30" customHeight="1" thickBot="1" x14ac:dyDescent="0.25">
      <c r="B54" s="1003"/>
      <c r="C54" s="178" t="s">
        <v>172</v>
      </c>
      <c r="D54" s="167" t="s">
        <v>143</v>
      </c>
      <c r="E54" s="167" t="s">
        <v>129</v>
      </c>
      <c r="F54" s="167">
        <v>27129360</v>
      </c>
      <c r="G54" s="167" t="s">
        <v>173</v>
      </c>
      <c r="H54" s="167" t="s">
        <v>281</v>
      </c>
      <c r="I54" s="728">
        <v>43228</v>
      </c>
      <c r="J54" s="735">
        <v>10000</v>
      </c>
      <c r="K54" s="736"/>
      <c r="L54" s="737"/>
      <c r="M54" s="167">
        <v>8.1999999999999993</v>
      </c>
      <c r="N54" s="168">
        <f t="shared" si="2"/>
        <v>10000.0082</v>
      </c>
      <c r="O54" s="179">
        <v>5</v>
      </c>
      <c r="P54" s="168">
        <f t="shared" si="4"/>
        <v>0.88957844095478944</v>
      </c>
      <c r="Q54" s="167" t="str">
        <f t="shared" si="3"/>
        <v>M-001</v>
      </c>
      <c r="R54" s="180" t="s">
        <v>229</v>
      </c>
      <c r="AS54" s="88"/>
    </row>
    <row r="55" spans="2:48" ht="30" customHeight="1" x14ac:dyDescent="0.2">
      <c r="B55" s="1002"/>
      <c r="C55" s="169" t="s">
        <v>174</v>
      </c>
      <c r="D55" s="170" t="s">
        <v>175</v>
      </c>
      <c r="E55" s="170" t="s">
        <v>230</v>
      </c>
      <c r="F55" s="170">
        <v>11119515</v>
      </c>
      <c r="G55" s="170">
        <v>1</v>
      </c>
      <c r="H55" s="170" t="s">
        <v>298</v>
      </c>
      <c r="I55" s="733">
        <v>43252</v>
      </c>
      <c r="J55" s="734">
        <v>1</v>
      </c>
      <c r="K55" s="738"/>
      <c r="L55" s="739"/>
      <c r="M55" s="170">
        <v>0.04</v>
      </c>
      <c r="N55" s="184">
        <f t="shared" si="2"/>
        <v>1.00004</v>
      </c>
      <c r="O55" s="170">
        <v>0.03</v>
      </c>
      <c r="P55" s="173">
        <f>(0.34848*((750.7+754.5)/2)-0.009024*((52.2+58.7)/2)*EXP(0.0612*((20+20.6)/2)))/(273.15+((20+20.6)/2))</f>
        <v>0.88782702273489045</v>
      </c>
      <c r="Q55" s="170" t="s">
        <v>176</v>
      </c>
      <c r="R55" s="174" t="s">
        <v>229</v>
      </c>
      <c r="AS55" s="88"/>
      <c r="AT55" s="82"/>
      <c r="AU55" s="82"/>
    </row>
    <row r="56" spans="2:48" ht="30" customHeight="1" x14ac:dyDescent="0.2">
      <c r="B56" s="1002"/>
      <c r="C56" s="175" t="s">
        <v>177</v>
      </c>
      <c r="D56" s="163" t="s">
        <v>175</v>
      </c>
      <c r="E56" s="163" t="s">
        <v>230</v>
      </c>
      <c r="F56" s="163">
        <v>11119515</v>
      </c>
      <c r="G56" s="163" t="s">
        <v>179</v>
      </c>
      <c r="H56" s="163" t="s">
        <v>298</v>
      </c>
      <c r="I56" s="722">
        <v>43252</v>
      </c>
      <c r="J56" s="723">
        <v>2</v>
      </c>
      <c r="K56" s="724"/>
      <c r="L56" s="725"/>
      <c r="M56" s="163">
        <v>0.04</v>
      </c>
      <c r="N56" s="176">
        <f t="shared" si="2"/>
        <v>2.0000399999999998</v>
      </c>
      <c r="O56" s="163">
        <v>0.04</v>
      </c>
      <c r="P56" s="164">
        <f>(0.34848*((750.7+754.5)/2)-0.009024*((52.2+58.7)/2)*EXP(0.0612*((20+20.6)/2)))/(273.15+((20+20.6)/2))</f>
        <v>0.88782702273489045</v>
      </c>
      <c r="Q56" s="163" t="str">
        <f t="shared" ref="Q56:Q70" si="5">Q55</f>
        <v>M-002</v>
      </c>
      <c r="R56" s="177" t="s">
        <v>229</v>
      </c>
      <c r="AS56" s="88"/>
      <c r="AT56" s="82"/>
      <c r="AU56" s="82"/>
    </row>
    <row r="57" spans="2:48" ht="30" customHeight="1" x14ac:dyDescent="0.2">
      <c r="B57" s="1002"/>
      <c r="C57" s="175" t="s">
        <v>178</v>
      </c>
      <c r="D57" s="163" t="s">
        <v>175</v>
      </c>
      <c r="E57" s="163" t="s">
        <v>230</v>
      </c>
      <c r="F57" s="163">
        <v>11119515</v>
      </c>
      <c r="G57" s="163">
        <v>2</v>
      </c>
      <c r="H57" s="163" t="s">
        <v>298</v>
      </c>
      <c r="I57" s="722">
        <v>43252</v>
      </c>
      <c r="J57" s="723">
        <v>2</v>
      </c>
      <c r="K57" s="724"/>
      <c r="L57" s="725"/>
      <c r="M57" s="163">
        <v>0.06</v>
      </c>
      <c r="N57" s="176">
        <f t="shared" si="2"/>
        <v>2.0000599999999999</v>
      </c>
      <c r="O57" s="163">
        <v>0.04</v>
      </c>
      <c r="P57" s="164">
        <f t="shared" ref="P57:P70" si="6">(0.34848*((750.7+754.5)/2)-0.009024*((52.2+58.7)/2)*EXP(0.0612*((20+20.6)/2)))/(273.15+((20+20.6)/2))</f>
        <v>0.88782702273489045</v>
      </c>
      <c r="Q57" s="163" t="str">
        <f t="shared" si="5"/>
        <v>M-002</v>
      </c>
      <c r="R57" s="177" t="s">
        <v>229</v>
      </c>
      <c r="AS57" s="88"/>
      <c r="AT57" s="82"/>
      <c r="AU57" s="82"/>
    </row>
    <row r="58" spans="2:48" ht="30" customHeight="1" x14ac:dyDescent="0.2">
      <c r="B58" s="1002"/>
      <c r="C58" s="175" t="s">
        <v>180</v>
      </c>
      <c r="D58" s="163" t="s">
        <v>175</v>
      </c>
      <c r="E58" s="163" t="s">
        <v>230</v>
      </c>
      <c r="F58" s="163">
        <v>11119515</v>
      </c>
      <c r="G58" s="163">
        <v>5</v>
      </c>
      <c r="H58" s="163" t="s">
        <v>298</v>
      </c>
      <c r="I58" s="722">
        <v>43252</v>
      </c>
      <c r="J58" s="163">
        <v>5</v>
      </c>
      <c r="K58" s="724"/>
      <c r="L58" s="725"/>
      <c r="M58" s="166">
        <v>0.01</v>
      </c>
      <c r="N58" s="176">
        <f t="shared" si="2"/>
        <v>5.0000099999999996</v>
      </c>
      <c r="O58" s="163">
        <v>0.05</v>
      </c>
      <c r="P58" s="164">
        <f t="shared" si="6"/>
        <v>0.88782702273489045</v>
      </c>
      <c r="Q58" s="163" t="str">
        <f t="shared" si="5"/>
        <v>M-002</v>
      </c>
      <c r="R58" s="177" t="s">
        <v>229</v>
      </c>
      <c r="AS58" s="88"/>
      <c r="AT58" s="82"/>
      <c r="AU58" s="82"/>
    </row>
    <row r="59" spans="2:48" ht="30" customHeight="1" x14ac:dyDescent="0.2">
      <c r="B59" s="1002"/>
      <c r="C59" s="175" t="s">
        <v>181</v>
      </c>
      <c r="D59" s="163" t="s">
        <v>175</v>
      </c>
      <c r="E59" s="163" t="s">
        <v>230</v>
      </c>
      <c r="F59" s="163">
        <v>11119515</v>
      </c>
      <c r="G59" s="163">
        <v>10</v>
      </c>
      <c r="H59" s="163" t="s">
        <v>298</v>
      </c>
      <c r="I59" s="722">
        <v>43252</v>
      </c>
      <c r="J59" s="163">
        <v>10</v>
      </c>
      <c r="K59" s="724"/>
      <c r="L59" s="725"/>
      <c r="M59" s="163">
        <v>7.0000000000000007E-2</v>
      </c>
      <c r="N59" s="176">
        <f t="shared" si="2"/>
        <v>10.000069999999999</v>
      </c>
      <c r="O59" s="163">
        <v>0.06</v>
      </c>
      <c r="P59" s="164">
        <f t="shared" si="6"/>
        <v>0.88782702273489045</v>
      </c>
      <c r="Q59" s="163" t="str">
        <f t="shared" si="5"/>
        <v>M-002</v>
      </c>
      <c r="R59" s="177" t="s">
        <v>229</v>
      </c>
      <c r="AS59" s="88"/>
      <c r="AT59" s="82"/>
      <c r="AU59" s="82"/>
    </row>
    <row r="60" spans="2:48" ht="30" customHeight="1" x14ac:dyDescent="0.2">
      <c r="B60" s="1002"/>
      <c r="C60" s="175" t="s">
        <v>183</v>
      </c>
      <c r="D60" s="163" t="s">
        <v>175</v>
      </c>
      <c r="E60" s="163" t="s">
        <v>230</v>
      </c>
      <c r="F60" s="163">
        <v>11119515</v>
      </c>
      <c r="G60" s="163" t="s">
        <v>185</v>
      </c>
      <c r="H60" s="163" t="s">
        <v>298</v>
      </c>
      <c r="I60" s="722">
        <v>43252</v>
      </c>
      <c r="J60" s="163">
        <v>20</v>
      </c>
      <c r="K60" s="724"/>
      <c r="L60" s="725"/>
      <c r="M60" s="163">
        <v>0.08</v>
      </c>
      <c r="N60" s="176">
        <f t="shared" si="2"/>
        <v>20.000080000000001</v>
      </c>
      <c r="O60" s="163">
        <v>0.08</v>
      </c>
      <c r="P60" s="164">
        <f t="shared" si="6"/>
        <v>0.88782702273489045</v>
      </c>
      <c r="Q60" s="163" t="str">
        <f t="shared" si="5"/>
        <v>M-002</v>
      </c>
      <c r="R60" s="177" t="s">
        <v>229</v>
      </c>
      <c r="AS60" s="88"/>
      <c r="AT60" s="82"/>
      <c r="AU60" s="82"/>
    </row>
    <row r="61" spans="2:48" ht="30" customHeight="1" x14ac:dyDescent="0.2">
      <c r="B61" s="1002"/>
      <c r="C61" s="175" t="s">
        <v>184</v>
      </c>
      <c r="D61" s="163" t="s">
        <v>175</v>
      </c>
      <c r="E61" s="163" t="s">
        <v>230</v>
      </c>
      <c r="F61" s="163">
        <v>11119515</v>
      </c>
      <c r="G61" s="163">
        <v>20</v>
      </c>
      <c r="H61" s="163" t="s">
        <v>298</v>
      </c>
      <c r="I61" s="722">
        <v>43252</v>
      </c>
      <c r="J61" s="163">
        <v>20</v>
      </c>
      <c r="K61" s="724"/>
      <c r="L61" s="725"/>
      <c r="M61" s="163">
        <v>7.0000000000000007E-2</v>
      </c>
      <c r="N61" s="176">
        <f t="shared" si="2"/>
        <v>20.000070000000001</v>
      </c>
      <c r="O61" s="163">
        <v>0.08</v>
      </c>
      <c r="P61" s="164">
        <f t="shared" si="6"/>
        <v>0.88782702273489045</v>
      </c>
      <c r="Q61" s="163" t="str">
        <f t="shared" si="5"/>
        <v>M-002</v>
      </c>
      <c r="R61" s="177" t="s">
        <v>229</v>
      </c>
      <c r="AS61" s="88"/>
      <c r="AT61" s="82"/>
      <c r="AU61" s="82"/>
    </row>
    <row r="62" spans="2:48" ht="30" customHeight="1" x14ac:dyDescent="0.2">
      <c r="B62" s="1002"/>
      <c r="C62" s="175" t="s">
        <v>186</v>
      </c>
      <c r="D62" s="163" t="s">
        <v>175</v>
      </c>
      <c r="E62" s="163" t="s">
        <v>230</v>
      </c>
      <c r="F62" s="163">
        <v>11119515</v>
      </c>
      <c r="G62" s="163">
        <v>50</v>
      </c>
      <c r="H62" s="163" t="s">
        <v>298</v>
      </c>
      <c r="I62" s="722">
        <v>43252</v>
      </c>
      <c r="J62" s="163">
        <v>50</v>
      </c>
      <c r="K62" s="724"/>
      <c r="L62" s="725"/>
      <c r="M62" s="163">
        <v>0.13</v>
      </c>
      <c r="N62" s="176">
        <f t="shared" si="2"/>
        <v>50.000129999999999</v>
      </c>
      <c r="O62" s="166">
        <v>0.1</v>
      </c>
      <c r="P62" s="164">
        <f t="shared" si="6"/>
        <v>0.88782702273489045</v>
      </c>
      <c r="Q62" s="163" t="str">
        <f t="shared" si="5"/>
        <v>M-002</v>
      </c>
      <c r="R62" s="177" t="s">
        <v>229</v>
      </c>
      <c r="AS62" s="88"/>
      <c r="AT62" s="82"/>
      <c r="AU62" s="82"/>
    </row>
    <row r="63" spans="2:48" ht="30" customHeight="1" x14ac:dyDescent="0.2">
      <c r="B63" s="1002"/>
      <c r="C63" s="175" t="s">
        <v>187</v>
      </c>
      <c r="D63" s="163" t="s">
        <v>175</v>
      </c>
      <c r="E63" s="163" t="s">
        <v>230</v>
      </c>
      <c r="F63" s="163">
        <v>11119515</v>
      </c>
      <c r="G63" s="163">
        <v>100</v>
      </c>
      <c r="H63" s="163" t="s">
        <v>298</v>
      </c>
      <c r="I63" s="722">
        <v>43252</v>
      </c>
      <c r="J63" s="163">
        <v>100</v>
      </c>
      <c r="K63" s="724"/>
      <c r="L63" s="725"/>
      <c r="M63" s="163">
        <v>0.14000000000000001</v>
      </c>
      <c r="N63" s="176">
        <f t="shared" si="2"/>
        <v>100.00014</v>
      </c>
      <c r="O63" s="163">
        <v>0.16</v>
      </c>
      <c r="P63" s="164">
        <f t="shared" si="6"/>
        <v>0.88782702273489045</v>
      </c>
      <c r="Q63" s="163" t="str">
        <f t="shared" si="5"/>
        <v>M-002</v>
      </c>
      <c r="R63" s="177" t="s">
        <v>229</v>
      </c>
      <c r="AT63" s="88"/>
      <c r="AU63" s="82"/>
      <c r="AV63" s="82"/>
    </row>
    <row r="64" spans="2:48" ht="30" customHeight="1" x14ac:dyDescent="0.2">
      <c r="B64" s="1002"/>
      <c r="C64" s="175" t="s">
        <v>188</v>
      </c>
      <c r="D64" s="163" t="s">
        <v>175</v>
      </c>
      <c r="E64" s="163" t="s">
        <v>230</v>
      </c>
      <c r="F64" s="163">
        <v>11119515</v>
      </c>
      <c r="G64" s="163" t="s">
        <v>190</v>
      </c>
      <c r="H64" s="163" t="s">
        <v>298</v>
      </c>
      <c r="I64" s="722">
        <v>43252</v>
      </c>
      <c r="J64" s="163">
        <v>200</v>
      </c>
      <c r="K64" s="724"/>
      <c r="L64" s="725"/>
      <c r="M64" s="163">
        <v>0.3</v>
      </c>
      <c r="N64" s="164">
        <f t="shared" si="2"/>
        <v>200.00030000000001</v>
      </c>
      <c r="O64" s="163">
        <v>0.3</v>
      </c>
      <c r="P64" s="164">
        <f t="shared" si="6"/>
        <v>0.88782702273489045</v>
      </c>
      <c r="Q64" s="163" t="str">
        <f t="shared" si="5"/>
        <v>M-002</v>
      </c>
      <c r="R64" s="177" t="s">
        <v>229</v>
      </c>
      <c r="AT64" s="88"/>
      <c r="AU64" s="82"/>
      <c r="AV64" s="82"/>
    </row>
    <row r="65" spans="2:50" ht="30" customHeight="1" x14ac:dyDescent="0.2">
      <c r="B65" s="1002"/>
      <c r="C65" s="175" t="s">
        <v>189</v>
      </c>
      <c r="D65" s="163" t="s">
        <v>175</v>
      </c>
      <c r="E65" s="163" t="s">
        <v>230</v>
      </c>
      <c r="F65" s="163">
        <v>11119515</v>
      </c>
      <c r="G65" s="163">
        <v>200</v>
      </c>
      <c r="H65" s="163" t="s">
        <v>298</v>
      </c>
      <c r="I65" s="722">
        <v>43252</v>
      </c>
      <c r="J65" s="163">
        <v>200</v>
      </c>
      <c r="K65" s="724"/>
      <c r="L65" s="725"/>
      <c r="M65" s="163">
        <v>0.2</v>
      </c>
      <c r="N65" s="164">
        <f t="shared" si="2"/>
        <v>200.00020000000001</v>
      </c>
      <c r="O65" s="163">
        <v>0.3</v>
      </c>
      <c r="P65" s="164">
        <f t="shared" si="6"/>
        <v>0.88782702273489045</v>
      </c>
      <c r="Q65" s="163" t="str">
        <f t="shared" si="5"/>
        <v>M-002</v>
      </c>
      <c r="R65" s="177" t="s">
        <v>229</v>
      </c>
      <c r="AT65" s="88"/>
      <c r="AU65" s="82"/>
      <c r="AV65" s="82"/>
    </row>
    <row r="66" spans="2:50" ht="30" customHeight="1" x14ac:dyDescent="0.2">
      <c r="B66" s="1002"/>
      <c r="C66" s="175" t="s">
        <v>191</v>
      </c>
      <c r="D66" s="163" t="s">
        <v>175</v>
      </c>
      <c r="E66" s="163" t="s">
        <v>230</v>
      </c>
      <c r="F66" s="163">
        <v>11119515</v>
      </c>
      <c r="G66" s="163">
        <v>500</v>
      </c>
      <c r="H66" s="163" t="s">
        <v>298</v>
      </c>
      <c r="I66" s="722">
        <v>43252</v>
      </c>
      <c r="J66" s="163">
        <v>500</v>
      </c>
      <c r="K66" s="724"/>
      <c r="L66" s="725"/>
      <c r="M66" s="163">
        <v>0.8</v>
      </c>
      <c r="N66" s="164">
        <f t="shared" si="2"/>
        <v>500.00080000000003</v>
      </c>
      <c r="O66" s="163">
        <v>0.8</v>
      </c>
      <c r="P66" s="164">
        <f t="shared" si="6"/>
        <v>0.88782702273489045</v>
      </c>
      <c r="Q66" s="163" t="str">
        <f t="shared" si="5"/>
        <v>M-002</v>
      </c>
      <c r="R66" s="177" t="s">
        <v>229</v>
      </c>
      <c r="AI66" s="98"/>
      <c r="AJ66" s="98"/>
      <c r="AK66" s="98"/>
      <c r="AQ66" s="99"/>
      <c r="AR66" s="99"/>
      <c r="AS66" s="88"/>
      <c r="AT66" s="88"/>
      <c r="AU66" s="82"/>
      <c r="AV66" s="82"/>
    </row>
    <row r="67" spans="2:50" ht="30" customHeight="1" x14ac:dyDescent="0.2">
      <c r="B67" s="1002"/>
      <c r="C67" s="175" t="s">
        <v>192</v>
      </c>
      <c r="D67" s="163" t="s">
        <v>175</v>
      </c>
      <c r="E67" s="163" t="s">
        <v>230</v>
      </c>
      <c r="F67" s="163">
        <v>11119515</v>
      </c>
      <c r="G67" s="163">
        <v>1</v>
      </c>
      <c r="H67" s="163" t="s">
        <v>298</v>
      </c>
      <c r="I67" s="722">
        <v>43252</v>
      </c>
      <c r="J67" s="723">
        <v>1000</v>
      </c>
      <c r="K67" s="724"/>
      <c r="L67" s="724"/>
      <c r="M67" s="163">
        <v>1.9</v>
      </c>
      <c r="N67" s="164">
        <f t="shared" si="2"/>
        <v>1000.0019</v>
      </c>
      <c r="O67" s="163">
        <v>1.6</v>
      </c>
      <c r="P67" s="164">
        <f t="shared" si="6"/>
        <v>0.88782702273489045</v>
      </c>
      <c r="Q67" s="163" t="str">
        <f t="shared" si="5"/>
        <v>M-002</v>
      </c>
      <c r="R67" s="177" t="s">
        <v>229</v>
      </c>
      <c r="AI67" s="100"/>
      <c r="AJ67" s="100"/>
      <c r="AK67" s="100"/>
      <c r="AQ67" s="100"/>
      <c r="AR67" s="100"/>
      <c r="AS67" s="100"/>
      <c r="AT67" s="100"/>
      <c r="AU67" s="100"/>
      <c r="AV67" s="100"/>
      <c r="AW67" s="100"/>
      <c r="AX67" s="100"/>
    </row>
    <row r="68" spans="2:50" ht="30" customHeight="1" x14ac:dyDescent="0.2">
      <c r="B68" s="1002"/>
      <c r="C68" s="175" t="s">
        <v>193</v>
      </c>
      <c r="D68" s="163" t="s">
        <v>175</v>
      </c>
      <c r="E68" s="163" t="s">
        <v>230</v>
      </c>
      <c r="F68" s="163">
        <v>11119515</v>
      </c>
      <c r="G68" s="163" t="s">
        <v>179</v>
      </c>
      <c r="H68" s="163" t="s">
        <v>298</v>
      </c>
      <c r="I68" s="722">
        <v>43252</v>
      </c>
      <c r="J68" s="723">
        <v>2000</v>
      </c>
      <c r="K68" s="724"/>
      <c r="L68" s="724"/>
      <c r="M68" s="165">
        <v>1.9</v>
      </c>
      <c r="N68" s="164">
        <f t="shared" si="2"/>
        <v>2000.0019</v>
      </c>
      <c r="O68" s="165">
        <v>3</v>
      </c>
      <c r="P68" s="164">
        <f t="shared" si="6"/>
        <v>0.88782702273489045</v>
      </c>
      <c r="Q68" s="163" t="str">
        <f t="shared" si="5"/>
        <v>M-002</v>
      </c>
      <c r="R68" s="177" t="s">
        <v>229</v>
      </c>
      <c r="AE68" s="100"/>
      <c r="AF68" s="100"/>
      <c r="AG68" s="100"/>
      <c r="AH68" s="100"/>
      <c r="AI68" s="100"/>
      <c r="AJ68" s="100"/>
      <c r="AK68" s="100"/>
      <c r="AQ68" s="100"/>
      <c r="AR68" s="100"/>
      <c r="AS68" s="100"/>
      <c r="AT68" s="100"/>
      <c r="AU68" s="100"/>
      <c r="AV68" s="100"/>
      <c r="AW68" s="100"/>
      <c r="AX68" s="100"/>
    </row>
    <row r="69" spans="2:50" ht="30" customHeight="1" x14ac:dyDescent="0.2">
      <c r="B69" s="1002"/>
      <c r="C69" s="175" t="s">
        <v>194</v>
      </c>
      <c r="D69" s="163" t="s">
        <v>175</v>
      </c>
      <c r="E69" s="163" t="s">
        <v>230</v>
      </c>
      <c r="F69" s="163">
        <v>11119515</v>
      </c>
      <c r="G69" s="163">
        <v>2</v>
      </c>
      <c r="H69" s="163" t="s">
        <v>298</v>
      </c>
      <c r="I69" s="722">
        <v>43252</v>
      </c>
      <c r="J69" s="723">
        <v>2000</v>
      </c>
      <c r="K69" s="724"/>
      <c r="L69" s="724"/>
      <c r="M69" s="165">
        <v>2.1</v>
      </c>
      <c r="N69" s="164">
        <f t="shared" si="2"/>
        <v>2000.0020999999999</v>
      </c>
      <c r="O69" s="165">
        <v>3</v>
      </c>
      <c r="P69" s="164">
        <f t="shared" si="6"/>
        <v>0.88782702273489045</v>
      </c>
      <c r="Q69" s="163" t="str">
        <f t="shared" si="5"/>
        <v>M-002</v>
      </c>
      <c r="R69" s="177" t="s">
        <v>229</v>
      </c>
      <c r="S69" s="81"/>
      <c r="T69" s="81"/>
      <c r="U69" s="81"/>
      <c r="V69" s="81"/>
      <c r="W69" s="81"/>
      <c r="X69" s="81"/>
      <c r="Y69" s="100"/>
      <c r="Z69" s="100"/>
      <c r="AA69" s="100"/>
      <c r="AB69" s="100"/>
      <c r="AC69" s="100"/>
      <c r="AD69" s="100"/>
      <c r="AE69" s="100"/>
      <c r="AF69" s="100"/>
      <c r="AG69" s="100"/>
      <c r="AH69" s="100"/>
      <c r="AI69" s="100"/>
      <c r="AJ69" s="100"/>
      <c r="AK69" s="100"/>
      <c r="AQ69" s="100"/>
      <c r="AR69" s="100"/>
      <c r="AS69" s="100"/>
      <c r="AT69" s="100"/>
      <c r="AU69" s="100"/>
      <c r="AV69" s="100"/>
      <c r="AW69" s="100"/>
      <c r="AX69" s="100"/>
    </row>
    <row r="70" spans="2:50" ht="30" customHeight="1" thickBot="1" x14ac:dyDescent="0.25">
      <c r="B70" s="1003"/>
      <c r="C70" s="178" t="s">
        <v>195</v>
      </c>
      <c r="D70" s="167" t="s">
        <v>175</v>
      </c>
      <c r="E70" s="167" t="s">
        <v>230</v>
      </c>
      <c r="F70" s="167">
        <v>11119515</v>
      </c>
      <c r="G70" s="167">
        <v>5</v>
      </c>
      <c r="H70" s="167" t="s">
        <v>298</v>
      </c>
      <c r="I70" s="728">
        <v>43252</v>
      </c>
      <c r="J70" s="735">
        <v>5000</v>
      </c>
      <c r="K70" s="736"/>
      <c r="L70" s="736"/>
      <c r="M70" s="167">
        <v>5.8</v>
      </c>
      <c r="N70" s="168">
        <f t="shared" si="2"/>
        <v>5000.0057999999999</v>
      </c>
      <c r="O70" s="179">
        <v>8</v>
      </c>
      <c r="P70" s="168">
        <f t="shared" si="6"/>
        <v>0.88782702273489045</v>
      </c>
      <c r="Q70" s="167" t="str">
        <f t="shared" si="5"/>
        <v>M-002</v>
      </c>
      <c r="R70" s="180" t="s">
        <v>229</v>
      </c>
      <c r="S70" s="81"/>
      <c r="T70" s="81"/>
      <c r="U70" s="81"/>
      <c r="V70" s="81"/>
      <c r="W70" s="81"/>
      <c r="X70" s="81"/>
      <c r="Y70" s="100"/>
      <c r="Z70" s="100"/>
      <c r="AA70" s="100"/>
      <c r="AB70" s="100"/>
      <c r="AC70" s="100"/>
      <c r="AD70" s="100"/>
      <c r="AE70" s="100"/>
      <c r="AF70" s="100"/>
      <c r="AG70" s="100"/>
      <c r="AH70" s="100"/>
      <c r="AI70" s="100"/>
      <c r="AJ70" s="100"/>
      <c r="AK70" s="100"/>
      <c r="AQ70" s="100"/>
      <c r="AR70" s="100"/>
      <c r="AS70" s="100"/>
      <c r="AT70" s="100"/>
      <c r="AU70" s="100"/>
      <c r="AV70" s="100"/>
      <c r="AW70" s="100"/>
      <c r="AX70" s="100"/>
    </row>
    <row r="71" spans="2:50" ht="30" customHeight="1" thickBot="1" x14ac:dyDescent="0.25">
      <c r="B71" s="185"/>
      <c r="C71" s="347" t="s">
        <v>196</v>
      </c>
      <c r="D71" s="348" t="s">
        <v>175</v>
      </c>
      <c r="E71" s="348" t="s">
        <v>230</v>
      </c>
      <c r="F71" s="348">
        <v>11119467</v>
      </c>
      <c r="G71" s="348">
        <v>10</v>
      </c>
      <c r="H71" s="348" t="s">
        <v>282</v>
      </c>
      <c r="I71" s="740">
        <v>43670</v>
      </c>
      <c r="J71" s="741">
        <v>10000</v>
      </c>
      <c r="K71" s="742"/>
      <c r="L71" s="742"/>
      <c r="M71" s="348">
        <v>7</v>
      </c>
      <c r="N71" s="349">
        <f t="shared" si="2"/>
        <v>10000.007</v>
      </c>
      <c r="O71" s="348">
        <v>16</v>
      </c>
      <c r="P71" s="350">
        <f>(0.34848*((752.6+754.6)/2)-0.009024*((54.2+56.2)/2)*EXP(0.0612*((20+20.2)/2)))/(273.15+((20+20.2)/2))</f>
        <v>0.88971909362420276</v>
      </c>
      <c r="Q71" s="348" t="s">
        <v>197</v>
      </c>
      <c r="R71" s="351" t="s">
        <v>229</v>
      </c>
      <c r="S71" s="81"/>
      <c r="T71" s="81"/>
      <c r="U71" s="81"/>
      <c r="V71" s="81"/>
      <c r="W71" s="81"/>
      <c r="X71" s="81"/>
      <c r="Y71" s="100"/>
      <c r="Z71" s="100"/>
      <c r="AA71" s="100"/>
      <c r="AB71" s="100"/>
      <c r="AC71" s="100"/>
      <c r="AD71" s="100"/>
      <c r="AE71" s="100"/>
      <c r="AF71" s="100"/>
      <c r="AG71" s="100"/>
      <c r="AH71" s="100"/>
      <c r="AI71" s="100"/>
      <c r="AJ71" s="100"/>
      <c r="AK71" s="100"/>
      <c r="AQ71" s="100"/>
      <c r="AR71" s="100"/>
      <c r="AS71" s="100"/>
      <c r="AT71" s="100"/>
      <c r="AU71" s="100"/>
      <c r="AV71" s="100"/>
      <c r="AW71" s="100"/>
      <c r="AX71" s="100"/>
    </row>
    <row r="72" spans="2:50" ht="30" customHeight="1" thickBot="1" x14ac:dyDescent="0.25">
      <c r="B72" s="376"/>
      <c r="C72" s="352" t="s">
        <v>198</v>
      </c>
      <c r="D72" s="353" t="s">
        <v>175</v>
      </c>
      <c r="E72" s="353" t="s">
        <v>230</v>
      </c>
      <c r="F72" s="353">
        <v>11119468</v>
      </c>
      <c r="G72" s="353">
        <v>20</v>
      </c>
      <c r="H72" s="353" t="s">
        <v>283</v>
      </c>
      <c r="I72" s="743">
        <v>43230</v>
      </c>
      <c r="J72" s="744">
        <v>20000</v>
      </c>
      <c r="K72" s="745"/>
      <c r="L72" s="745"/>
      <c r="M72" s="353">
        <v>0</v>
      </c>
      <c r="N72" s="354">
        <f t="shared" si="2"/>
        <v>20000</v>
      </c>
      <c r="O72" s="353">
        <v>30</v>
      </c>
      <c r="P72" s="355">
        <f>(0.34848*((753.6+753.8)/2)-0.009024*((49.3+49.6)/2)*EXP(0.0612*((21.3+21.4)/2)))/(273.15+((21.3+21.4)/2))</f>
        <v>0.88625169920254576</v>
      </c>
      <c r="Q72" s="353" t="s">
        <v>199</v>
      </c>
      <c r="R72" s="356" t="s">
        <v>229</v>
      </c>
      <c r="S72" s="81"/>
      <c r="T72" s="81"/>
      <c r="U72" s="81"/>
      <c r="V72" s="81"/>
      <c r="W72" s="81"/>
      <c r="X72" s="81"/>
      <c r="Y72" s="100"/>
      <c r="Z72" s="100"/>
      <c r="AA72" s="100"/>
      <c r="AB72" s="100"/>
      <c r="AC72" s="100"/>
      <c r="AD72" s="100"/>
      <c r="AE72" s="100"/>
      <c r="AF72" s="100"/>
      <c r="AG72" s="100"/>
      <c r="AH72" s="100"/>
      <c r="AI72" s="100"/>
      <c r="AJ72" s="100"/>
      <c r="AK72" s="100"/>
      <c r="AQ72" s="100"/>
      <c r="AR72" s="100"/>
      <c r="AS72" s="100"/>
      <c r="AT72" s="100"/>
      <c r="AU72" s="100"/>
      <c r="AV72" s="100"/>
      <c r="AW72" s="100"/>
      <c r="AX72" s="100"/>
    </row>
    <row r="73" spans="2:50" ht="30" customHeight="1" x14ac:dyDescent="0.2">
      <c r="B73" s="999" t="s">
        <v>437</v>
      </c>
      <c r="C73" s="707" t="s">
        <v>420</v>
      </c>
      <c r="D73" s="170" t="s">
        <v>175</v>
      </c>
      <c r="E73" s="170" t="s">
        <v>200</v>
      </c>
      <c r="F73" s="170" t="s">
        <v>231</v>
      </c>
      <c r="G73" s="170" t="s">
        <v>201</v>
      </c>
      <c r="H73" s="170" t="s">
        <v>284</v>
      </c>
      <c r="I73" s="733">
        <v>43228</v>
      </c>
      <c r="J73" s="170">
        <v>1</v>
      </c>
      <c r="K73" s="738"/>
      <c r="L73" s="738"/>
      <c r="M73" s="172">
        <v>0.04</v>
      </c>
      <c r="N73" s="184">
        <f t="shared" si="2"/>
        <v>1.00004</v>
      </c>
      <c r="O73" s="172">
        <v>3.3000000000000002E-2</v>
      </c>
      <c r="P73" s="173">
        <f>(0.34848*((751.2+755.7)/2)-0.009024*((48.4+57.9)/2)*EXP(0.0612*((19.5+20.7)/2)))/(273.15+((19.5+20.7)/2))</f>
        <v>0.88975669159417592</v>
      </c>
      <c r="Q73" s="170" t="s">
        <v>202</v>
      </c>
      <c r="R73" s="174" t="s">
        <v>229</v>
      </c>
      <c r="S73" s="81"/>
      <c r="T73" s="81"/>
      <c r="U73" s="81"/>
      <c r="V73" s="81"/>
      <c r="W73" s="81"/>
      <c r="X73" s="81"/>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row>
    <row r="74" spans="2:50" ht="30" customHeight="1" x14ac:dyDescent="0.2">
      <c r="B74" s="1000"/>
      <c r="C74" s="708" t="s">
        <v>421</v>
      </c>
      <c r="D74" s="163" t="s">
        <v>175</v>
      </c>
      <c r="E74" s="163" t="s">
        <v>200</v>
      </c>
      <c r="F74" s="163" t="s">
        <v>231</v>
      </c>
      <c r="G74" s="163" t="s">
        <v>201</v>
      </c>
      <c r="H74" s="163" t="s">
        <v>284</v>
      </c>
      <c r="I74" s="722">
        <v>43228</v>
      </c>
      <c r="J74" s="163">
        <v>2</v>
      </c>
      <c r="K74" s="724"/>
      <c r="L74" s="724"/>
      <c r="M74" s="166">
        <v>0.04</v>
      </c>
      <c r="N74" s="176">
        <f t="shared" si="2"/>
        <v>2.0000399999999998</v>
      </c>
      <c r="O74" s="166">
        <v>0.04</v>
      </c>
      <c r="P74" s="164">
        <f t="shared" ref="P74:P88" si="7">(0.34848*((751.2+755.7)/2)-0.009024*((48.4+57.9)/2)*EXP(0.0612*((19.5+20.7)/2)))/(273.15+((19.5+20.7)/2))</f>
        <v>0.88975669159417592</v>
      </c>
      <c r="Q74" s="163" t="str">
        <f>Q73</f>
        <v>M-016</v>
      </c>
      <c r="R74" s="177" t="s">
        <v>229</v>
      </c>
      <c r="S74" s="81"/>
      <c r="T74" s="81"/>
      <c r="U74" s="81"/>
      <c r="V74" s="81"/>
      <c r="W74" s="81"/>
      <c r="X74" s="81"/>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row>
    <row r="75" spans="2:50" ht="30" customHeight="1" x14ac:dyDescent="0.2">
      <c r="B75" s="1000"/>
      <c r="C75" s="708" t="s">
        <v>422</v>
      </c>
      <c r="D75" s="163" t="s">
        <v>175</v>
      </c>
      <c r="E75" s="163" t="s">
        <v>200</v>
      </c>
      <c r="F75" s="163" t="s">
        <v>231</v>
      </c>
      <c r="G75" s="163" t="s">
        <v>203</v>
      </c>
      <c r="H75" s="163" t="s">
        <v>284</v>
      </c>
      <c r="I75" s="722">
        <v>43228</v>
      </c>
      <c r="J75" s="163">
        <v>2</v>
      </c>
      <c r="K75" s="724"/>
      <c r="L75" s="724"/>
      <c r="M75" s="163">
        <v>0.05</v>
      </c>
      <c r="N75" s="182">
        <f t="shared" si="2"/>
        <v>2.0000499999999999</v>
      </c>
      <c r="O75" s="166">
        <v>0.04</v>
      </c>
      <c r="P75" s="164">
        <f t="shared" si="7"/>
        <v>0.88975669159417592</v>
      </c>
      <c r="Q75" s="163" t="str">
        <f t="shared" ref="Q75:Q88" si="8">Q74</f>
        <v>M-016</v>
      </c>
      <c r="R75" s="177" t="s">
        <v>229</v>
      </c>
      <c r="U75" s="81"/>
      <c r="V75" s="81"/>
      <c r="W75" s="81"/>
      <c r="X75" s="81"/>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row>
    <row r="76" spans="2:50" ht="30" customHeight="1" x14ac:dyDescent="0.2">
      <c r="B76" s="1000"/>
      <c r="C76" s="708" t="s">
        <v>423</v>
      </c>
      <c r="D76" s="163" t="s">
        <v>175</v>
      </c>
      <c r="E76" s="163" t="s">
        <v>200</v>
      </c>
      <c r="F76" s="163" t="s">
        <v>231</v>
      </c>
      <c r="G76" s="163" t="s">
        <v>201</v>
      </c>
      <c r="H76" s="163" t="s">
        <v>284</v>
      </c>
      <c r="I76" s="722">
        <v>43228</v>
      </c>
      <c r="J76" s="163">
        <v>5</v>
      </c>
      <c r="K76" s="724"/>
      <c r="L76" s="724"/>
      <c r="M76" s="163">
        <v>7.0000000000000007E-2</v>
      </c>
      <c r="N76" s="182">
        <f t="shared" si="2"/>
        <v>5.00007</v>
      </c>
      <c r="O76" s="166">
        <v>5.2999999999999999E-2</v>
      </c>
      <c r="P76" s="164">
        <f t="shared" si="7"/>
        <v>0.88975669159417592</v>
      </c>
      <c r="Q76" s="163" t="str">
        <f t="shared" si="8"/>
        <v>M-016</v>
      </c>
      <c r="R76" s="177" t="s">
        <v>229</v>
      </c>
      <c r="U76" s="81"/>
      <c r="V76" s="81"/>
      <c r="W76" s="81"/>
      <c r="X76" s="81"/>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row>
    <row r="77" spans="2:50" ht="30" customHeight="1" x14ac:dyDescent="0.2">
      <c r="B77" s="1000"/>
      <c r="C77" s="708" t="s">
        <v>424</v>
      </c>
      <c r="D77" s="163" t="s">
        <v>175</v>
      </c>
      <c r="E77" s="163" t="s">
        <v>200</v>
      </c>
      <c r="F77" s="163" t="s">
        <v>231</v>
      </c>
      <c r="G77" s="163" t="s">
        <v>201</v>
      </c>
      <c r="H77" s="163" t="s">
        <v>284</v>
      </c>
      <c r="I77" s="722">
        <v>43228</v>
      </c>
      <c r="J77" s="163">
        <v>10</v>
      </c>
      <c r="K77" s="724"/>
      <c r="L77" s="724"/>
      <c r="M77" s="163">
        <v>0.09</v>
      </c>
      <c r="N77" s="182">
        <f t="shared" si="2"/>
        <v>10.00009</v>
      </c>
      <c r="O77" s="166">
        <v>0.06</v>
      </c>
      <c r="P77" s="164">
        <f t="shared" si="7"/>
        <v>0.88975669159417592</v>
      </c>
      <c r="Q77" s="163" t="str">
        <f t="shared" si="8"/>
        <v>M-016</v>
      </c>
      <c r="R77" s="177" t="s">
        <v>229</v>
      </c>
      <c r="U77" s="81"/>
      <c r="V77" s="81"/>
      <c r="W77" s="81"/>
      <c r="X77" s="81"/>
      <c r="Y77" s="81"/>
      <c r="Z77" s="81"/>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row>
    <row r="78" spans="2:50" ht="30" customHeight="1" x14ac:dyDescent="0.2">
      <c r="B78" s="1000"/>
      <c r="C78" s="708" t="s">
        <v>425</v>
      </c>
      <c r="D78" s="163" t="s">
        <v>175</v>
      </c>
      <c r="E78" s="163" t="s">
        <v>200</v>
      </c>
      <c r="F78" s="163" t="s">
        <v>231</v>
      </c>
      <c r="G78" s="163" t="s">
        <v>201</v>
      </c>
      <c r="H78" s="163" t="s">
        <v>284</v>
      </c>
      <c r="I78" s="722">
        <v>43228</v>
      </c>
      <c r="J78" s="163">
        <v>20</v>
      </c>
      <c r="K78" s="724"/>
      <c r="L78" s="724"/>
      <c r="M78" s="163">
        <v>0.11</v>
      </c>
      <c r="N78" s="182">
        <f t="shared" si="2"/>
        <v>20.000109999999999</v>
      </c>
      <c r="O78" s="166">
        <v>8.3000000000000004E-2</v>
      </c>
      <c r="P78" s="164">
        <f t="shared" si="7"/>
        <v>0.88975669159417592</v>
      </c>
      <c r="Q78" s="163" t="str">
        <f t="shared" si="8"/>
        <v>M-016</v>
      </c>
      <c r="R78" s="177" t="s">
        <v>229</v>
      </c>
      <c r="U78" s="81"/>
      <c r="V78" s="81"/>
      <c r="W78" s="81"/>
      <c r="X78" s="81"/>
      <c r="Y78" s="81"/>
      <c r="Z78" s="81"/>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row>
    <row r="79" spans="2:50" ht="30" customHeight="1" x14ac:dyDescent="0.2">
      <c r="B79" s="1000"/>
      <c r="C79" s="708" t="s">
        <v>426</v>
      </c>
      <c r="D79" s="163" t="s">
        <v>175</v>
      </c>
      <c r="E79" s="163" t="s">
        <v>200</v>
      </c>
      <c r="F79" s="163" t="s">
        <v>231</v>
      </c>
      <c r="G79" s="163" t="s">
        <v>203</v>
      </c>
      <c r="H79" s="163" t="s">
        <v>284</v>
      </c>
      <c r="I79" s="722">
        <v>43228</v>
      </c>
      <c r="J79" s="163">
        <v>20</v>
      </c>
      <c r="K79" s="724"/>
      <c r="L79" s="724"/>
      <c r="M79" s="166">
        <v>0.1</v>
      </c>
      <c r="N79" s="182">
        <f t="shared" si="2"/>
        <v>20.0001</v>
      </c>
      <c r="O79" s="166">
        <v>8.3000000000000004E-2</v>
      </c>
      <c r="P79" s="164">
        <f t="shared" si="7"/>
        <v>0.88975669159417592</v>
      </c>
      <c r="Q79" s="163" t="str">
        <f t="shared" si="8"/>
        <v>M-016</v>
      </c>
      <c r="R79" s="177" t="s">
        <v>229</v>
      </c>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row>
    <row r="80" spans="2:50" ht="30" customHeight="1" x14ac:dyDescent="0.2">
      <c r="B80" s="1000"/>
      <c r="C80" s="708" t="s">
        <v>427</v>
      </c>
      <c r="D80" s="163" t="s">
        <v>175</v>
      </c>
      <c r="E80" s="163" t="s">
        <v>200</v>
      </c>
      <c r="F80" s="163" t="s">
        <v>231</v>
      </c>
      <c r="G80" s="163" t="s">
        <v>201</v>
      </c>
      <c r="H80" s="163" t="s">
        <v>284</v>
      </c>
      <c r="I80" s="722">
        <v>43228</v>
      </c>
      <c r="J80" s="163">
        <v>50</v>
      </c>
      <c r="K80" s="724"/>
      <c r="L80" s="724"/>
      <c r="M80" s="166">
        <v>0.1</v>
      </c>
      <c r="N80" s="176">
        <f t="shared" si="2"/>
        <v>50.000100000000003</v>
      </c>
      <c r="O80" s="166">
        <v>0.1</v>
      </c>
      <c r="P80" s="164">
        <f t="shared" si="7"/>
        <v>0.88975669159417592</v>
      </c>
      <c r="Q80" s="163" t="str">
        <f t="shared" si="8"/>
        <v>M-016</v>
      </c>
      <c r="R80" s="177" t="s">
        <v>229</v>
      </c>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row>
    <row r="81" spans="2:50" ht="30" customHeight="1" x14ac:dyDescent="0.2">
      <c r="B81" s="1000"/>
      <c r="C81" s="708" t="s">
        <v>428</v>
      </c>
      <c r="D81" s="163" t="s">
        <v>175</v>
      </c>
      <c r="E81" s="163" t="s">
        <v>200</v>
      </c>
      <c r="F81" s="163" t="s">
        <v>231</v>
      </c>
      <c r="G81" s="163" t="s">
        <v>201</v>
      </c>
      <c r="H81" s="163" t="s">
        <v>284</v>
      </c>
      <c r="I81" s="722">
        <v>43228</v>
      </c>
      <c r="J81" s="163">
        <v>100</v>
      </c>
      <c r="K81" s="724"/>
      <c r="L81" s="724"/>
      <c r="M81" s="163">
        <v>0.12</v>
      </c>
      <c r="N81" s="176">
        <f t="shared" si="2"/>
        <v>100.00012</v>
      </c>
      <c r="O81" s="163">
        <v>0.16</v>
      </c>
      <c r="P81" s="164">
        <f t="shared" si="7"/>
        <v>0.88975669159417592</v>
      </c>
      <c r="Q81" s="163" t="str">
        <f t="shared" si="8"/>
        <v>M-016</v>
      </c>
      <c r="R81" s="177" t="s">
        <v>229</v>
      </c>
      <c r="U81" s="81"/>
      <c r="V81" s="81"/>
      <c r="W81" s="81"/>
      <c r="X81" s="81"/>
      <c r="Y81" s="81"/>
      <c r="Z81" s="81"/>
      <c r="AA81" s="100"/>
      <c r="AB81" s="100"/>
      <c r="AC81" s="100"/>
      <c r="AD81" s="100"/>
      <c r="AE81" s="100"/>
      <c r="AF81" s="100"/>
      <c r="AG81" s="100"/>
      <c r="AH81" s="100"/>
      <c r="AI81" s="100"/>
      <c r="AJ81" s="100"/>
      <c r="AK81" s="100"/>
      <c r="AV81" s="100"/>
      <c r="AW81" s="100"/>
      <c r="AX81" s="100"/>
    </row>
    <row r="82" spans="2:50" ht="30" customHeight="1" x14ac:dyDescent="0.2">
      <c r="B82" s="1000"/>
      <c r="C82" s="708" t="s">
        <v>429</v>
      </c>
      <c r="D82" s="163" t="s">
        <v>175</v>
      </c>
      <c r="E82" s="163" t="s">
        <v>200</v>
      </c>
      <c r="F82" s="163" t="s">
        <v>231</v>
      </c>
      <c r="G82" s="163" t="s">
        <v>201</v>
      </c>
      <c r="H82" s="163" t="s">
        <v>284</v>
      </c>
      <c r="I82" s="722">
        <v>43228</v>
      </c>
      <c r="J82" s="163">
        <v>200</v>
      </c>
      <c r="K82" s="724"/>
      <c r="L82" s="724"/>
      <c r="M82" s="163">
        <v>0.3</v>
      </c>
      <c r="N82" s="176">
        <f t="shared" si="2"/>
        <v>200.00030000000001</v>
      </c>
      <c r="O82" s="165">
        <v>0.33</v>
      </c>
      <c r="P82" s="164">
        <f t="shared" si="7"/>
        <v>0.88975669159417592</v>
      </c>
      <c r="Q82" s="163" t="str">
        <f t="shared" si="8"/>
        <v>M-016</v>
      </c>
      <c r="R82" s="177" t="s">
        <v>229</v>
      </c>
      <c r="U82" s="81"/>
      <c r="V82" s="81"/>
      <c r="W82" s="81"/>
      <c r="X82" s="81"/>
      <c r="Y82" s="81"/>
      <c r="Z82" s="81"/>
      <c r="AA82" s="100"/>
      <c r="AB82" s="100"/>
      <c r="AC82" s="100"/>
      <c r="AD82" s="100"/>
      <c r="AE82" s="100"/>
      <c r="AF82" s="100"/>
      <c r="AG82" s="100"/>
      <c r="AH82" s="100"/>
      <c r="AI82" s="100"/>
      <c r="AJ82" s="100"/>
      <c r="AK82" s="100"/>
      <c r="AV82" s="100"/>
      <c r="AW82" s="100"/>
      <c r="AX82" s="100"/>
    </row>
    <row r="83" spans="2:50" ht="30" customHeight="1" x14ac:dyDescent="0.2">
      <c r="B83" s="1000"/>
      <c r="C83" s="708" t="s">
        <v>430</v>
      </c>
      <c r="D83" s="163" t="s">
        <v>175</v>
      </c>
      <c r="E83" s="163" t="s">
        <v>200</v>
      </c>
      <c r="F83" s="163" t="s">
        <v>231</v>
      </c>
      <c r="G83" s="163" t="s">
        <v>203</v>
      </c>
      <c r="H83" s="163" t="s">
        <v>284</v>
      </c>
      <c r="I83" s="722">
        <v>43228</v>
      </c>
      <c r="J83" s="163">
        <v>200</v>
      </c>
      <c r="K83" s="724"/>
      <c r="L83" s="724"/>
      <c r="M83" s="163">
        <v>0.4</v>
      </c>
      <c r="N83" s="176">
        <f t="shared" si="2"/>
        <v>200.00040000000001</v>
      </c>
      <c r="O83" s="165">
        <v>0.33</v>
      </c>
      <c r="P83" s="164">
        <f t="shared" si="7"/>
        <v>0.88975669159417592</v>
      </c>
      <c r="Q83" s="163" t="str">
        <f t="shared" si="8"/>
        <v>M-016</v>
      </c>
      <c r="R83" s="177" t="s">
        <v>229</v>
      </c>
      <c r="U83" s="81"/>
      <c r="V83" s="81"/>
      <c r="W83" s="81"/>
      <c r="X83" s="81"/>
      <c r="Y83" s="81"/>
      <c r="Z83" s="81"/>
      <c r="AA83" s="100"/>
      <c r="AB83" s="100"/>
      <c r="AC83" s="100"/>
      <c r="AD83" s="100"/>
      <c r="AE83" s="100"/>
      <c r="AF83" s="100"/>
      <c r="AG83" s="100"/>
      <c r="AH83" s="100"/>
      <c r="AI83" s="100"/>
      <c r="AJ83" s="100"/>
      <c r="AK83" s="100"/>
      <c r="AV83" s="100"/>
      <c r="AW83" s="100"/>
      <c r="AX83" s="100"/>
    </row>
    <row r="84" spans="2:50" ht="30" customHeight="1" x14ac:dyDescent="0.2">
      <c r="B84" s="1000"/>
      <c r="C84" s="708" t="s">
        <v>431</v>
      </c>
      <c r="D84" s="163" t="s">
        <v>175</v>
      </c>
      <c r="E84" s="163" t="s">
        <v>200</v>
      </c>
      <c r="F84" s="163" t="s">
        <v>231</v>
      </c>
      <c r="G84" s="163" t="s">
        <v>201</v>
      </c>
      <c r="H84" s="163" t="s">
        <v>284</v>
      </c>
      <c r="I84" s="722">
        <v>43228</v>
      </c>
      <c r="J84" s="163">
        <v>500</v>
      </c>
      <c r="K84" s="724"/>
      <c r="L84" s="724"/>
      <c r="M84" s="163">
        <v>0.9</v>
      </c>
      <c r="N84" s="176">
        <f t="shared" si="2"/>
        <v>500.0009</v>
      </c>
      <c r="O84" s="165">
        <v>0.83</v>
      </c>
      <c r="P84" s="164">
        <f t="shared" si="7"/>
        <v>0.88975669159417592</v>
      </c>
      <c r="Q84" s="163" t="str">
        <f t="shared" si="8"/>
        <v>M-016</v>
      </c>
      <c r="R84" s="177" t="s">
        <v>229</v>
      </c>
      <c r="S84" s="81"/>
      <c r="T84" s="81"/>
      <c r="U84" s="81"/>
      <c r="V84" s="81"/>
      <c r="W84" s="81"/>
      <c r="X84" s="81"/>
      <c r="Y84" s="81"/>
      <c r="Z84" s="81"/>
      <c r="AA84" s="100"/>
      <c r="AB84" s="100"/>
      <c r="AC84" s="100"/>
      <c r="AD84" s="100"/>
      <c r="AE84" s="100"/>
      <c r="AF84" s="100"/>
      <c r="AG84" s="100"/>
      <c r="AH84" s="100"/>
      <c r="AI84" s="100"/>
      <c r="AJ84" s="100"/>
      <c r="AK84" s="100"/>
      <c r="AV84" s="100"/>
      <c r="AW84" s="100"/>
      <c r="AX84" s="100"/>
    </row>
    <row r="85" spans="2:50" ht="30" customHeight="1" x14ac:dyDescent="0.2">
      <c r="B85" s="1000"/>
      <c r="C85" s="708" t="s">
        <v>432</v>
      </c>
      <c r="D85" s="163" t="s">
        <v>175</v>
      </c>
      <c r="E85" s="163" t="s">
        <v>200</v>
      </c>
      <c r="F85" s="163" t="s">
        <v>231</v>
      </c>
      <c r="G85" s="163" t="s">
        <v>201</v>
      </c>
      <c r="H85" s="163" t="s">
        <v>284</v>
      </c>
      <c r="I85" s="722">
        <v>43228</v>
      </c>
      <c r="J85" s="723">
        <v>1000</v>
      </c>
      <c r="K85" s="724"/>
      <c r="L85" s="724"/>
      <c r="M85" s="165">
        <v>-0.5</v>
      </c>
      <c r="N85" s="164">
        <f t="shared" si="2"/>
        <v>999.99950000000001</v>
      </c>
      <c r="O85" s="163">
        <v>1.6</v>
      </c>
      <c r="P85" s="164">
        <f t="shared" si="7"/>
        <v>0.88975669159417592</v>
      </c>
      <c r="Q85" s="163" t="str">
        <f t="shared" si="8"/>
        <v>M-016</v>
      </c>
      <c r="R85" s="177" t="s">
        <v>229</v>
      </c>
      <c r="S85" s="81"/>
      <c r="T85" s="81"/>
      <c r="U85" s="81"/>
      <c r="V85" s="81"/>
      <c r="W85" s="81"/>
      <c r="X85" s="81"/>
      <c r="Y85" s="81"/>
      <c r="Z85" s="81"/>
      <c r="AA85" s="100"/>
      <c r="AB85" s="100"/>
      <c r="AC85" s="100"/>
      <c r="AD85" s="100"/>
      <c r="AE85" s="100"/>
      <c r="AF85" s="100"/>
      <c r="AG85" s="100"/>
      <c r="AH85" s="100"/>
      <c r="AI85" s="100"/>
      <c r="AJ85" s="100"/>
      <c r="AK85" s="100"/>
      <c r="AV85" s="100"/>
      <c r="AW85" s="100"/>
      <c r="AX85" s="100"/>
    </row>
    <row r="86" spans="2:50" ht="30" customHeight="1" x14ac:dyDescent="0.2">
      <c r="B86" s="1000"/>
      <c r="C86" s="708" t="s">
        <v>433</v>
      </c>
      <c r="D86" s="163" t="s">
        <v>175</v>
      </c>
      <c r="E86" s="163" t="s">
        <v>200</v>
      </c>
      <c r="F86" s="163" t="s">
        <v>231</v>
      </c>
      <c r="G86" s="163" t="s">
        <v>201</v>
      </c>
      <c r="H86" s="163" t="s">
        <v>284</v>
      </c>
      <c r="I86" s="722">
        <v>43228</v>
      </c>
      <c r="J86" s="723">
        <v>2000</v>
      </c>
      <c r="K86" s="724"/>
      <c r="L86" s="724"/>
      <c r="M86" s="165">
        <v>3.1</v>
      </c>
      <c r="N86" s="164">
        <f t="shared" si="2"/>
        <v>2000.0030999999999</v>
      </c>
      <c r="O86" s="165">
        <v>3</v>
      </c>
      <c r="P86" s="164">
        <f t="shared" si="7"/>
        <v>0.88975669159417592</v>
      </c>
      <c r="Q86" s="163" t="str">
        <f t="shared" si="8"/>
        <v>M-016</v>
      </c>
      <c r="R86" s="177" t="s">
        <v>229</v>
      </c>
      <c r="S86" s="81"/>
      <c r="T86" s="81"/>
      <c r="U86" s="81"/>
      <c r="V86" s="81"/>
      <c r="W86" s="81"/>
      <c r="X86" s="81"/>
      <c r="Y86" s="81"/>
      <c r="Z86" s="81"/>
      <c r="AA86" s="100"/>
      <c r="AB86" s="100"/>
      <c r="AC86" s="100"/>
      <c r="AD86" s="100"/>
      <c r="AE86" s="100"/>
      <c r="AF86" s="100"/>
      <c r="AG86" s="100"/>
      <c r="AH86" s="100"/>
      <c r="AI86" s="100"/>
      <c r="AJ86" s="100"/>
      <c r="AK86" s="100"/>
      <c r="AV86" s="100"/>
      <c r="AW86" s="100"/>
      <c r="AX86" s="100"/>
    </row>
    <row r="87" spans="2:50" ht="30" customHeight="1" x14ac:dyDescent="0.2">
      <c r="B87" s="1000"/>
      <c r="C87" s="708" t="s">
        <v>434</v>
      </c>
      <c r="D87" s="163" t="s">
        <v>175</v>
      </c>
      <c r="E87" s="163" t="s">
        <v>200</v>
      </c>
      <c r="F87" s="163" t="s">
        <v>231</v>
      </c>
      <c r="G87" s="163" t="s">
        <v>203</v>
      </c>
      <c r="H87" s="163" t="s">
        <v>284</v>
      </c>
      <c r="I87" s="722">
        <v>43228</v>
      </c>
      <c r="J87" s="723">
        <v>2000</v>
      </c>
      <c r="K87" s="724"/>
      <c r="L87" s="724"/>
      <c r="M87" s="163">
        <v>3.2</v>
      </c>
      <c r="N87" s="164">
        <f t="shared" si="2"/>
        <v>2000.0032000000001</v>
      </c>
      <c r="O87" s="165">
        <v>3</v>
      </c>
      <c r="P87" s="164">
        <f t="shared" si="7"/>
        <v>0.88975669159417592</v>
      </c>
      <c r="Q87" s="163" t="str">
        <f>Q86</f>
        <v>M-016</v>
      </c>
      <c r="R87" s="177" t="s">
        <v>229</v>
      </c>
      <c r="S87" s="81"/>
      <c r="T87" s="81"/>
      <c r="U87" s="81"/>
      <c r="V87" s="100"/>
      <c r="W87" s="100"/>
      <c r="X87" s="100"/>
      <c r="Y87" s="100"/>
      <c r="Z87" s="100"/>
      <c r="AA87" s="100"/>
      <c r="AB87" s="100"/>
      <c r="AC87" s="100"/>
      <c r="AD87" s="100"/>
      <c r="AE87" s="100"/>
      <c r="AF87" s="100"/>
      <c r="AG87" s="100"/>
      <c r="AH87" s="100"/>
      <c r="AI87" s="100"/>
      <c r="AJ87" s="100"/>
      <c r="AK87" s="100"/>
      <c r="AV87" s="100"/>
      <c r="AW87" s="100"/>
      <c r="AX87" s="100"/>
    </row>
    <row r="88" spans="2:50" ht="30" customHeight="1" thickBot="1" x14ac:dyDescent="0.25">
      <c r="B88" s="1001"/>
      <c r="C88" s="709" t="s">
        <v>435</v>
      </c>
      <c r="D88" s="167" t="s">
        <v>175</v>
      </c>
      <c r="E88" s="167" t="s">
        <v>200</v>
      </c>
      <c r="F88" s="167" t="s">
        <v>231</v>
      </c>
      <c r="G88" s="167" t="s">
        <v>201</v>
      </c>
      <c r="H88" s="167" t="s">
        <v>284</v>
      </c>
      <c r="I88" s="728">
        <v>43228</v>
      </c>
      <c r="J88" s="735">
        <v>5000</v>
      </c>
      <c r="K88" s="736"/>
      <c r="L88" s="736"/>
      <c r="M88" s="167">
        <v>7.9</v>
      </c>
      <c r="N88" s="168">
        <f t="shared" si="2"/>
        <v>5000.0078999999996</v>
      </c>
      <c r="O88" s="179">
        <v>8</v>
      </c>
      <c r="P88" s="168">
        <f t="shared" si="7"/>
        <v>0.88975669159417592</v>
      </c>
      <c r="Q88" s="167" t="str">
        <f t="shared" si="8"/>
        <v>M-016</v>
      </c>
      <c r="R88" s="180" t="s">
        <v>229</v>
      </c>
      <c r="U88" s="81"/>
      <c r="V88" s="100"/>
      <c r="W88" s="100"/>
      <c r="X88" s="100"/>
      <c r="Y88" s="100"/>
      <c r="Z88" s="100"/>
      <c r="AA88" s="100"/>
      <c r="AB88" s="100"/>
      <c r="AC88" s="100"/>
      <c r="AD88" s="100"/>
      <c r="AE88" s="100"/>
      <c r="AF88" s="100"/>
      <c r="AG88" s="100"/>
      <c r="AH88" s="100"/>
      <c r="AI88" s="100"/>
      <c r="AJ88" s="100"/>
      <c r="AK88" s="100"/>
      <c r="AV88" s="100"/>
      <c r="AW88" s="100"/>
      <c r="AX88" s="100"/>
    </row>
    <row r="89" spans="2:50" ht="30" customHeight="1" x14ac:dyDescent="0.2">
      <c r="B89" s="101"/>
      <c r="U89" s="81"/>
      <c r="V89" s="100"/>
      <c r="W89" s="100"/>
      <c r="X89" s="100"/>
      <c r="Y89" s="100"/>
      <c r="Z89" s="100"/>
      <c r="AA89" s="100"/>
      <c r="AB89" s="100"/>
      <c r="AC89" s="100"/>
      <c r="AD89" s="100"/>
      <c r="AE89" s="100"/>
      <c r="AF89" s="100"/>
      <c r="AG89" s="100"/>
      <c r="AH89" s="100"/>
      <c r="AI89" s="100"/>
      <c r="AJ89" s="100"/>
      <c r="AK89" s="100"/>
      <c r="AV89" s="100"/>
      <c r="AW89" s="100"/>
      <c r="AX89" s="100"/>
    </row>
    <row r="90" spans="2:50" ht="30" customHeight="1" x14ac:dyDescent="0.2">
      <c r="B90" s="101"/>
      <c r="U90" s="81"/>
      <c r="V90" s="100"/>
      <c r="W90" s="100"/>
      <c r="X90" s="100"/>
      <c r="Y90" s="100"/>
      <c r="Z90" s="100"/>
      <c r="AA90" s="100"/>
      <c r="AB90" s="100"/>
      <c r="AC90" s="100"/>
      <c r="AD90" s="100"/>
      <c r="AE90" s="100"/>
      <c r="AF90" s="100"/>
      <c r="AG90" s="100"/>
      <c r="AH90" s="100"/>
      <c r="AI90" s="100"/>
      <c r="AJ90" s="100"/>
      <c r="AK90" s="100"/>
      <c r="AV90" s="100"/>
      <c r="AW90" s="100"/>
      <c r="AX90" s="100"/>
    </row>
    <row r="91" spans="2:50" ht="30" customHeight="1" x14ac:dyDescent="0.2">
      <c r="O91" s="81"/>
      <c r="P91" s="81"/>
      <c r="Q91" s="81"/>
      <c r="R91" s="81"/>
      <c r="S91" s="81"/>
      <c r="T91" s="81"/>
      <c r="U91" s="81"/>
      <c r="Z91" s="100"/>
      <c r="AA91" s="100"/>
      <c r="AB91" s="100"/>
      <c r="AC91" s="100"/>
      <c r="AD91" s="100"/>
      <c r="AE91" s="100"/>
      <c r="AF91" s="100"/>
      <c r="AG91" s="100"/>
      <c r="AH91" s="100"/>
      <c r="AI91" s="100"/>
      <c r="AJ91" s="100"/>
      <c r="AK91" s="100"/>
      <c r="AV91" s="100"/>
      <c r="AW91" s="100"/>
      <c r="AX91" s="100"/>
    </row>
    <row r="92" spans="2:50" ht="30" customHeight="1" x14ac:dyDescent="0.2">
      <c r="O92" s="81"/>
      <c r="P92" s="81"/>
      <c r="Q92" s="81"/>
      <c r="R92" s="81"/>
      <c r="S92" s="81"/>
      <c r="T92" s="81"/>
      <c r="U92" s="81"/>
      <c r="Z92" s="100"/>
      <c r="AA92" s="100"/>
      <c r="AB92" s="100"/>
      <c r="AC92" s="100"/>
      <c r="AD92" s="100"/>
      <c r="AE92" s="100"/>
      <c r="AF92" s="100"/>
      <c r="AG92" s="100"/>
      <c r="AH92" s="100"/>
      <c r="AI92" s="100"/>
      <c r="AJ92" s="100"/>
      <c r="AK92" s="100"/>
      <c r="AV92" s="100"/>
      <c r="AW92" s="100"/>
      <c r="AX92" s="100"/>
    </row>
    <row r="93" spans="2:50" ht="30" customHeight="1" x14ac:dyDescent="0.2">
      <c r="O93" s="81"/>
      <c r="P93" s="81"/>
      <c r="Q93" s="81"/>
      <c r="R93" s="81"/>
      <c r="S93" s="81"/>
      <c r="T93" s="81"/>
      <c r="U93" s="81"/>
      <c r="Z93" s="100"/>
      <c r="AA93" s="100"/>
      <c r="AB93" s="100"/>
      <c r="AC93" s="100"/>
      <c r="AD93" s="100"/>
      <c r="AE93" s="100"/>
      <c r="AF93" s="100"/>
      <c r="AG93" s="100"/>
      <c r="AH93" s="100"/>
      <c r="AI93" s="100"/>
      <c r="AJ93" s="100"/>
      <c r="AK93" s="100"/>
      <c r="AV93" s="100"/>
      <c r="AW93" s="100"/>
      <c r="AX93" s="100"/>
    </row>
    <row r="94" spans="2:50" ht="30" customHeight="1" x14ac:dyDescent="0.2">
      <c r="O94" s="81"/>
      <c r="P94" s="81"/>
      <c r="Q94" s="81"/>
      <c r="R94" s="81"/>
      <c r="S94" s="81"/>
      <c r="T94" s="81"/>
      <c r="U94" s="81"/>
      <c r="Z94" s="100"/>
      <c r="AA94" s="100"/>
      <c r="AB94" s="100"/>
      <c r="AC94" s="100"/>
      <c r="AD94" s="100"/>
      <c r="AE94" s="100"/>
      <c r="AF94" s="100"/>
      <c r="AG94" s="100"/>
      <c r="AH94" s="100"/>
      <c r="AI94" s="100"/>
      <c r="AJ94" s="100"/>
      <c r="AK94" s="100"/>
      <c r="AV94" s="100"/>
      <c r="AW94" s="100"/>
      <c r="AX94" s="100"/>
    </row>
    <row r="95" spans="2:50" ht="30" customHeight="1" thickBot="1" x14ac:dyDescent="0.25">
      <c r="O95" s="81"/>
      <c r="P95" s="81"/>
      <c r="Q95" s="81"/>
      <c r="R95" s="81"/>
      <c r="S95" s="81"/>
      <c r="T95" s="81"/>
      <c r="U95" s="81"/>
      <c r="Z95" s="100"/>
      <c r="AA95" s="100"/>
      <c r="AB95" s="100"/>
      <c r="AC95" s="100"/>
      <c r="AD95" s="100"/>
      <c r="AE95" s="100"/>
      <c r="AF95" s="100"/>
      <c r="AG95" s="100"/>
      <c r="AH95" s="100"/>
      <c r="AI95" s="100"/>
      <c r="AJ95" s="100"/>
      <c r="AK95" s="100"/>
      <c r="AV95" s="100"/>
      <c r="AW95" s="100"/>
      <c r="AX95" s="100"/>
    </row>
    <row r="96" spans="2:50" ht="30" customHeight="1" x14ac:dyDescent="0.2">
      <c r="B96" s="101"/>
      <c r="C96" s="867" t="s">
        <v>287</v>
      </c>
      <c r="D96" s="868"/>
      <c r="E96" s="868"/>
      <c r="F96" s="868"/>
      <c r="G96" s="868"/>
      <c r="H96" s="868"/>
      <c r="I96" s="868"/>
      <c r="J96" s="868"/>
      <c r="K96" s="868"/>
      <c r="L96" s="868"/>
      <c r="M96" s="868"/>
      <c r="N96" s="868"/>
      <c r="O96" s="868"/>
      <c r="P96" s="868"/>
      <c r="Q96" s="868"/>
      <c r="R96" s="868"/>
      <c r="S96" s="868"/>
      <c r="T96" s="869"/>
      <c r="U96" s="81"/>
      <c r="Z96" s="100"/>
      <c r="AA96" s="100"/>
      <c r="AB96" s="100"/>
      <c r="AC96" s="100"/>
      <c r="AD96" s="100"/>
      <c r="AE96" s="100"/>
      <c r="AF96" s="100"/>
      <c r="AG96" s="100"/>
      <c r="AH96" s="100"/>
      <c r="AI96" s="100"/>
      <c r="AJ96" s="100"/>
      <c r="AK96" s="100"/>
      <c r="AV96" s="100"/>
      <c r="AW96" s="100"/>
      <c r="AX96" s="100"/>
    </row>
    <row r="97" spans="1:50" ht="30" customHeight="1" thickBot="1" x14ac:dyDescent="0.25">
      <c r="B97" s="101"/>
      <c r="C97" s="870"/>
      <c r="D97" s="871"/>
      <c r="E97" s="871"/>
      <c r="F97" s="871"/>
      <c r="G97" s="871"/>
      <c r="H97" s="871"/>
      <c r="I97" s="871"/>
      <c r="J97" s="871"/>
      <c r="K97" s="871"/>
      <c r="L97" s="871"/>
      <c r="M97" s="871"/>
      <c r="N97" s="871"/>
      <c r="O97" s="871"/>
      <c r="P97" s="871"/>
      <c r="Q97" s="871"/>
      <c r="R97" s="871"/>
      <c r="S97" s="871"/>
      <c r="T97" s="872"/>
      <c r="U97" s="81"/>
      <c r="Z97" s="100"/>
      <c r="AA97" s="100"/>
      <c r="AB97" s="100"/>
      <c r="AC97" s="100"/>
      <c r="AD97" s="100"/>
      <c r="AE97" s="100"/>
      <c r="AF97" s="100"/>
      <c r="AG97" s="100"/>
      <c r="AH97" s="100"/>
      <c r="AI97" s="100"/>
      <c r="AJ97" s="100"/>
      <c r="AK97" s="100"/>
      <c r="AV97" s="100"/>
      <c r="AW97" s="100"/>
      <c r="AX97" s="100"/>
    </row>
    <row r="98" spans="1:50" ht="30" customHeight="1" thickBot="1" x14ac:dyDescent="0.25">
      <c r="B98" s="101"/>
      <c r="C98" s="873" t="s">
        <v>320</v>
      </c>
      <c r="D98" s="874"/>
      <c r="E98" s="874"/>
      <c r="F98" s="874"/>
      <c r="G98" s="874"/>
      <c r="H98" s="874"/>
      <c r="I98" s="874"/>
      <c r="J98" s="874"/>
      <c r="K98" s="874"/>
      <c r="L98" s="874"/>
      <c r="M98" s="874"/>
      <c r="N98" s="874"/>
      <c r="O98" s="874"/>
      <c r="P98" s="874"/>
      <c r="Q98" s="874"/>
      <c r="R98" s="874"/>
      <c r="S98" s="874"/>
      <c r="T98" s="875"/>
      <c r="U98" s="81"/>
      <c r="Z98" s="100"/>
      <c r="AA98" s="100"/>
      <c r="AB98" s="100"/>
      <c r="AC98" s="100"/>
      <c r="AD98" s="100"/>
      <c r="AE98" s="100"/>
      <c r="AF98" s="100"/>
      <c r="AG98" s="100"/>
      <c r="AH98" s="100"/>
      <c r="AI98" s="100"/>
      <c r="AJ98" s="100"/>
      <c r="AK98" s="100"/>
      <c r="AV98" s="100"/>
      <c r="AW98" s="100"/>
      <c r="AX98" s="100"/>
    </row>
    <row r="99" spans="1:50" ht="30" customHeight="1" x14ac:dyDescent="0.2">
      <c r="B99" s="101"/>
      <c r="C99" s="100"/>
      <c r="D99" s="876" t="s">
        <v>3</v>
      </c>
      <c r="E99" s="878" t="s">
        <v>210</v>
      </c>
      <c r="F99" s="878" t="s">
        <v>211</v>
      </c>
      <c r="G99" s="878" t="s">
        <v>212</v>
      </c>
      <c r="H99" s="878" t="s">
        <v>213</v>
      </c>
      <c r="I99" s="878" t="s">
        <v>214</v>
      </c>
      <c r="J99" s="878" t="s">
        <v>215</v>
      </c>
      <c r="K99" s="878" t="s">
        <v>216</v>
      </c>
      <c r="L99" s="949" t="s">
        <v>217</v>
      </c>
      <c r="O99" s="951" t="s">
        <v>288</v>
      </c>
      <c r="P99" s="952" t="s">
        <v>214</v>
      </c>
      <c r="Q99" s="953"/>
      <c r="R99" s="954"/>
      <c r="S99" s="967" t="s">
        <v>216</v>
      </c>
      <c r="T99" s="949" t="s">
        <v>217</v>
      </c>
      <c r="U99" s="81"/>
      <c r="Z99" s="100"/>
      <c r="AA99" s="100"/>
      <c r="AB99" s="100"/>
      <c r="AC99" s="100"/>
      <c r="AD99" s="100"/>
      <c r="AE99" s="100"/>
      <c r="AF99" s="100"/>
      <c r="AG99" s="100"/>
      <c r="AH99" s="100"/>
      <c r="AI99" s="100"/>
      <c r="AJ99" s="100"/>
      <c r="AK99" s="100"/>
      <c r="AV99" s="100"/>
      <c r="AW99" s="100"/>
      <c r="AX99" s="100"/>
    </row>
    <row r="100" spans="1:50" ht="30" customHeight="1" thickBot="1" x14ac:dyDescent="0.25">
      <c r="B100" s="101"/>
      <c r="C100" s="102"/>
      <c r="D100" s="877"/>
      <c r="E100" s="879"/>
      <c r="F100" s="879"/>
      <c r="G100" s="879"/>
      <c r="H100" s="879"/>
      <c r="I100" s="879"/>
      <c r="J100" s="879"/>
      <c r="K100" s="879"/>
      <c r="L100" s="950"/>
      <c r="O100" s="951"/>
      <c r="P100" s="952"/>
      <c r="Q100" s="953"/>
      <c r="R100" s="954"/>
      <c r="S100" s="968"/>
      <c r="T100" s="950"/>
      <c r="Z100" s="100"/>
      <c r="AA100" s="100"/>
      <c r="AB100" s="100"/>
      <c r="AC100" s="100"/>
      <c r="AD100" s="100"/>
      <c r="AE100" s="100"/>
      <c r="AF100" s="100"/>
      <c r="AG100" s="100"/>
      <c r="AH100" s="100"/>
      <c r="AI100" s="100"/>
      <c r="AJ100" s="100"/>
      <c r="AK100" s="100"/>
      <c r="AV100" s="100"/>
      <c r="AW100" s="100"/>
      <c r="AX100" s="100"/>
    </row>
    <row r="101" spans="1:50" ht="30" customHeight="1" thickBot="1" x14ac:dyDescent="0.25">
      <c r="A101" s="103"/>
      <c r="B101" s="104"/>
      <c r="C101" s="105"/>
      <c r="D101" s="105"/>
      <c r="E101" s="105"/>
      <c r="F101" s="105"/>
      <c r="G101" s="105"/>
      <c r="H101" s="105"/>
      <c r="I101" s="106"/>
      <c r="J101" s="106"/>
      <c r="K101" s="106"/>
      <c r="L101" s="106"/>
      <c r="O101" s="107"/>
      <c r="P101" s="107"/>
      <c r="Q101" s="107"/>
      <c r="R101" s="107"/>
      <c r="S101" s="108"/>
      <c r="T101" s="109"/>
      <c r="Z101" s="100"/>
      <c r="AA101" s="100"/>
      <c r="AB101" s="100"/>
      <c r="AC101" s="100"/>
      <c r="AD101" s="100"/>
      <c r="AE101" s="100"/>
      <c r="AF101" s="100"/>
      <c r="AG101" s="100"/>
      <c r="AH101" s="100"/>
      <c r="AI101" s="100"/>
      <c r="AJ101" s="100"/>
      <c r="AK101" s="100"/>
      <c r="AV101" s="100"/>
      <c r="AW101" s="100"/>
      <c r="AX101" s="100"/>
    </row>
    <row r="102" spans="1:50" ht="30" customHeight="1" x14ac:dyDescent="0.2">
      <c r="A102" s="925" t="s">
        <v>258</v>
      </c>
      <c r="B102" s="926"/>
      <c r="C102" s="906" t="s">
        <v>260</v>
      </c>
      <c r="D102" s="956" t="s">
        <v>218</v>
      </c>
      <c r="E102" s="854" t="s">
        <v>238</v>
      </c>
      <c r="F102" s="506">
        <v>15.4</v>
      </c>
      <c r="G102" s="507">
        <v>0.1</v>
      </c>
      <c r="H102" s="508">
        <v>-0.1</v>
      </c>
      <c r="I102" s="509">
        <v>0.3</v>
      </c>
      <c r="J102" s="969">
        <v>2</v>
      </c>
      <c r="K102" s="966">
        <v>43606</v>
      </c>
      <c r="L102" s="959" t="s">
        <v>382</v>
      </c>
      <c r="O102" s="157"/>
      <c r="P102" s="110" t="s">
        <v>255</v>
      </c>
      <c r="Q102" s="374" t="s">
        <v>256</v>
      </c>
      <c r="R102" s="374" t="s">
        <v>257</v>
      </c>
      <c r="S102" s="880" t="s">
        <v>385</v>
      </c>
      <c r="T102" s="955" t="s">
        <v>386</v>
      </c>
      <c r="Z102" s="100"/>
      <c r="AA102" s="100"/>
      <c r="AB102" s="100"/>
      <c r="AC102" s="100"/>
      <c r="AD102" s="100"/>
      <c r="AE102" s="100"/>
      <c r="AF102" s="100"/>
      <c r="AG102" s="100"/>
      <c r="AH102" s="100"/>
      <c r="AI102" s="100"/>
      <c r="AJ102" s="100"/>
      <c r="AK102" s="100"/>
      <c r="AV102" s="100"/>
      <c r="AW102" s="100"/>
      <c r="AX102" s="100"/>
    </row>
    <row r="103" spans="1:50" ht="30" customHeight="1" x14ac:dyDescent="0.2">
      <c r="A103" s="927"/>
      <c r="B103" s="928"/>
      <c r="C103" s="907"/>
      <c r="D103" s="957"/>
      <c r="E103" s="855"/>
      <c r="F103" s="510">
        <v>24.7</v>
      </c>
      <c r="G103" s="511">
        <v>0.1</v>
      </c>
      <c r="H103" s="512">
        <v>0</v>
      </c>
      <c r="I103" s="513">
        <v>0.3</v>
      </c>
      <c r="J103" s="947"/>
      <c r="K103" s="922"/>
      <c r="L103" s="960"/>
      <c r="O103" s="850" t="s">
        <v>265</v>
      </c>
      <c r="P103" s="158">
        <f>MAX(I102:I104)</f>
        <v>0.3</v>
      </c>
      <c r="Q103" s="158">
        <f>MAX(I105:I107)</f>
        <v>1.7</v>
      </c>
      <c r="R103" s="158">
        <f>MAX(I108:I110)</f>
        <v>0.31</v>
      </c>
      <c r="S103" s="881"/>
      <c r="T103" s="840"/>
      <c r="Z103" s="100"/>
      <c r="AA103" s="100"/>
      <c r="AB103" s="100"/>
      <c r="AC103" s="100"/>
      <c r="AD103" s="100"/>
      <c r="AE103" s="100"/>
      <c r="AF103" s="100"/>
      <c r="AG103" s="100"/>
      <c r="AH103" s="100"/>
      <c r="AI103" s="100"/>
      <c r="AJ103" s="100"/>
      <c r="AK103" s="100"/>
      <c r="AV103" s="100"/>
      <c r="AW103" s="100"/>
      <c r="AX103" s="100"/>
    </row>
    <row r="104" spans="1:50" ht="30" customHeight="1" thickBot="1" x14ac:dyDescent="0.25">
      <c r="A104" s="929"/>
      <c r="B104" s="930"/>
      <c r="C104" s="907"/>
      <c r="D104" s="957"/>
      <c r="E104" s="855"/>
      <c r="F104" s="514">
        <v>29.4</v>
      </c>
      <c r="G104" s="515">
        <v>0.1</v>
      </c>
      <c r="H104" s="516">
        <v>0</v>
      </c>
      <c r="I104" s="517">
        <v>0.3</v>
      </c>
      <c r="J104" s="970"/>
      <c r="K104" s="923"/>
      <c r="L104" s="961"/>
      <c r="O104" s="851"/>
      <c r="P104" s="111"/>
      <c r="Q104" s="112"/>
      <c r="R104" s="112"/>
      <c r="S104" s="882"/>
      <c r="T104" s="841"/>
      <c r="Z104" s="100"/>
      <c r="AA104" s="100"/>
      <c r="AB104" s="100"/>
      <c r="AC104" s="100"/>
      <c r="AD104" s="100"/>
      <c r="AE104" s="100"/>
      <c r="AF104" s="100"/>
      <c r="AG104" s="100"/>
      <c r="AH104" s="100"/>
      <c r="AI104" s="100"/>
      <c r="AJ104" s="100"/>
      <c r="AK104" s="100"/>
      <c r="AV104" s="100"/>
      <c r="AW104" s="100"/>
      <c r="AX104" s="100"/>
    </row>
    <row r="105" spans="1:50" ht="30" customHeight="1" x14ac:dyDescent="0.2">
      <c r="A105" s="915" t="s">
        <v>259</v>
      </c>
      <c r="B105" s="936"/>
      <c r="C105" s="907"/>
      <c r="D105" s="957"/>
      <c r="E105" s="855"/>
      <c r="F105" s="506">
        <v>33.200000000000003</v>
      </c>
      <c r="G105" s="507">
        <v>0.1</v>
      </c>
      <c r="H105" s="507">
        <v>-3.2</v>
      </c>
      <c r="I105" s="518">
        <v>1.7</v>
      </c>
      <c r="J105" s="946">
        <v>2</v>
      </c>
      <c r="K105" s="921">
        <v>43608</v>
      </c>
      <c r="L105" s="962" t="s">
        <v>383</v>
      </c>
      <c r="O105" s="81"/>
      <c r="P105" s="81"/>
      <c r="Q105" s="81"/>
      <c r="R105" s="81"/>
      <c r="S105" s="81"/>
      <c r="T105" s="81"/>
      <c r="Z105" s="100"/>
      <c r="AA105" s="100"/>
      <c r="AB105" s="100"/>
      <c r="AC105" s="100"/>
      <c r="AD105" s="100"/>
      <c r="AE105" s="100"/>
      <c r="AF105" s="100"/>
      <c r="AG105" s="100"/>
      <c r="AH105" s="100"/>
      <c r="AI105" s="100"/>
      <c r="AJ105" s="100"/>
      <c r="AK105" s="100"/>
      <c r="AV105" s="100"/>
      <c r="AW105" s="100"/>
      <c r="AX105" s="100"/>
    </row>
    <row r="106" spans="1:50" ht="30" customHeight="1" x14ac:dyDescent="0.2">
      <c r="A106" s="917"/>
      <c r="B106" s="937"/>
      <c r="C106" s="907"/>
      <c r="D106" s="957"/>
      <c r="E106" s="855"/>
      <c r="F106" s="519">
        <v>51.2</v>
      </c>
      <c r="G106" s="511">
        <v>0.1</v>
      </c>
      <c r="H106" s="520">
        <v>-1.2</v>
      </c>
      <c r="I106" s="513">
        <v>1.7</v>
      </c>
      <c r="J106" s="947"/>
      <c r="K106" s="922"/>
      <c r="L106" s="960"/>
      <c r="O106" s="81"/>
      <c r="P106" s="81"/>
      <c r="Q106" s="81"/>
      <c r="R106" s="81"/>
      <c r="S106" s="81"/>
      <c r="T106" s="81"/>
      <c r="Z106" s="100"/>
      <c r="AA106" s="100"/>
      <c r="AB106" s="100"/>
      <c r="AC106" s="100"/>
      <c r="AD106" s="100"/>
      <c r="AE106" s="100"/>
      <c r="AF106" s="100"/>
      <c r="AG106" s="100"/>
      <c r="AH106" s="100"/>
      <c r="AI106" s="100"/>
      <c r="AJ106" s="100"/>
      <c r="AK106" s="100"/>
      <c r="AV106" s="100"/>
      <c r="AW106" s="100"/>
      <c r="AX106" s="100"/>
    </row>
    <row r="107" spans="1:50" ht="30" customHeight="1" thickBot="1" x14ac:dyDescent="0.25">
      <c r="A107" s="919"/>
      <c r="B107" s="938"/>
      <c r="C107" s="907"/>
      <c r="D107" s="957"/>
      <c r="E107" s="855"/>
      <c r="F107" s="521">
        <v>77.2</v>
      </c>
      <c r="G107" s="515">
        <v>0.1</v>
      </c>
      <c r="H107" s="522">
        <v>2.8</v>
      </c>
      <c r="I107" s="517">
        <v>1.7</v>
      </c>
      <c r="J107" s="970"/>
      <c r="K107" s="923"/>
      <c r="L107" s="961"/>
      <c r="O107" s="81"/>
      <c r="P107" s="81"/>
      <c r="Q107" s="81"/>
      <c r="R107" s="81"/>
      <c r="S107" s="81"/>
      <c r="Z107" s="100"/>
      <c r="AA107" s="100"/>
      <c r="AB107" s="100"/>
      <c r="AC107" s="100"/>
      <c r="AD107" s="100"/>
      <c r="AE107" s="100"/>
      <c r="AF107" s="100"/>
      <c r="AG107" s="100"/>
      <c r="AH107" s="100"/>
      <c r="AI107" s="100"/>
      <c r="AJ107" s="100"/>
      <c r="AK107" s="100"/>
      <c r="AV107" s="100"/>
      <c r="AW107" s="100"/>
      <c r="AX107" s="100"/>
    </row>
    <row r="108" spans="1:50" ht="30" customHeight="1" x14ac:dyDescent="0.2">
      <c r="A108" s="917" t="s">
        <v>289</v>
      </c>
      <c r="B108" s="937"/>
      <c r="C108" s="907"/>
      <c r="D108" s="957"/>
      <c r="E108" s="855"/>
      <c r="F108" s="678">
        <v>698.2</v>
      </c>
      <c r="G108" s="679">
        <v>0.1</v>
      </c>
      <c r="H108" s="705">
        <v>-1.002</v>
      </c>
      <c r="I108" s="680">
        <v>9.2999999999999999E-2</v>
      </c>
      <c r="J108" s="946">
        <v>2</v>
      </c>
      <c r="K108" s="921">
        <v>43600</v>
      </c>
      <c r="L108" s="963" t="s">
        <v>384</v>
      </c>
      <c r="O108" s="81"/>
      <c r="P108" s="81"/>
      <c r="Q108" s="81"/>
      <c r="R108" s="81"/>
      <c r="S108" s="81"/>
      <c r="Z108" s="100"/>
      <c r="AA108" s="100"/>
      <c r="AB108" s="100"/>
      <c r="AC108" s="100"/>
      <c r="AD108" s="100"/>
      <c r="AE108" s="100"/>
      <c r="AF108" s="100"/>
      <c r="AG108" s="100"/>
      <c r="AH108" s="100"/>
      <c r="AI108" s="100"/>
      <c r="AJ108" s="100"/>
      <c r="AK108" s="100"/>
      <c r="AV108" s="100"/>
      <c r="AW108" s="100"/>
      <c r="AX108" s="100"/>
    </row>
    <row r="109" spans="1:50" ht="30" customHeight="1" x14ac:dyDescent="0.2">
      <c r="A109" s="917"/>
      <c r="B109" s="937"/>
      <c r="C109" s="907"/>
      <c r="D109" s="957"/>
      <c r="E109" s="855"/>
      <c r="F109" s="681">
        <v>798.4</v>
      </c>
      <c r="G109" s="682">
        <v>0.1</v>
      </c>
      <c r="H109" s="682">
        <v>-0.77</v>
      </c>
      <c r="I109" s="683">
        <v>0.14000000000000001</v>
      </c>
      <c r="J109" s="947"/>
      <c r="K109" s="922"/>
      <c r="L109" s="964"/>
      <c r="O109" s="81"/>
      <c r="P109" s="81"/>
      <c r="Q109" s="81"/>
      <c r="R109" s="81"/>
      <c r="S109" s="81"/>
      <c r="Z109" s="100"/>
      <c r="AA109" s="100"/>
      <c r="AB109" s="100"/>
      <c r="AC109" s="100"/>
      <c r="AD109" s="100"/>
      <c r="AE109" s="100"/>
      <c r="AF109" s="100"/>
      <c r="AG109" s="100"/>
      <c r="AH109" s="100"/>
      <c r="AI109" s="100"/>
      <c r="AJ109" s="100"/>
      <c r="AK109" s="100"/>
      <c r="AV109" s="100"/>
      <c r="AW109" s="100"/>
      <c r="AX109" s="100"/>
    </row>
    <row r="110" spans="1:50" ht="30" customHeight="1" thickBot="1" x14ac:dyDescent="0.25">
      <c r="A110" s="919"/>
      <c r="B110" s="938"/>
      <c r="C110" s="908"/>
      <c r="D110" s="958"/>
      <c r="E110" s="856"/>
      <c r="F110" s="684">
        <v>848.7</v>
      </c>
      <c r="G110" s="685">
        <v>0.1</v>
      </c>
      <c r="H110" s="685">
        <v>-0.78</v>
      </c>
      <c r="I110" s="686">
        <v>0.31</v>
      </c>
      <c r="J110" s="948"/>
      <c r="K110" s="924"/>
      <c r="L110" s="965"/>
      <c r="O110" s="81"/>
      <c r="P110" s="81"/>
      <c r="Q110" s="81"/>
      <c r="R110" s="81"/>
      <c r="S110" s="81"/>
      <c r="Z110" s="100"/>
      <c r="AA110" s="100"/>
      <c r="AB110" s="100"/>
      <c r="AC110" s="100"/>
      <c r="AD110" s="100"/>
      <c r="AE110" s="100"/>
      <c r="AF110" s="100"/>
      <c r="AG110" s="100"/>
      <c r="AH110" s="100"/>
      <c r="AI110" s="100"/>
      <c r="AJ110" s="100"/>
      <c r="AK110" s="100"/>
      <c r="AV110" s="100"/>
      <c r="AW110" s="100"/>
      <c r="AX110" s="100"/>
    </row>
    <row r="111" spans="1:50" ht="30" customHeight="1" thickBot="1" x14ac:dyDescent="0.25">
      <c r="A111" s="113"/>
      <c r="B111" s="113"/>
      <c r="C111" s="114"/>
      <c r="D111" s="115"/>
      <c r="E111" s="116"/>
      <c r="F111" s="117"/>
      <c r="G111" s="114"/>
      <c r="H111" s="114"/>
      <c r="I111" s="114"/>
      <c r="J111" s="114"/>
      <c r="K111" s="118"/>
      <c r="L111" s="114"/>
      <c r="O111" s="81"/>
      <c r="P111" s="81"/>
      <c r="Q111" s="81"/>
      <c r="R111" s="81"/>
      <c r="S111" s="81"/>
      <c r="U111" s="81"/>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row>
    <row r="112" spans="1:50" ht="30" customHeight="1" thickBot="1" x14ac:dyDescent="0.25">
      <c r="A112" s="82"/>
      <c r="B112" s="82"/>
      <c r="C112" s="82"/>
      <c r="D112" s="82"/>
      <c r="E112" s="82"/>
      <c r="F112" s="82"/>
      <c r="G112" s="82"/>
      <c r="H112" s="82"/>
      <c r="I112" s="82"/>
      <c r="J112" s="82"/>
      <c r="K112" s="82"/>
      <c r="L112" s="82"/>
      <c r="O112" s="81"/>
      <c r="P112" s="81"/>
      <c r="Q112" s="81"/>
      <c r="R112" s="81"/>
      <c r="S112" s="81"/>
      <c r="U112" s="81"/>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row>
    <row r="113" spans="1:50" ht="30" customHeight="1" x14ac:dyDescent="0.2">
      <c r="A113" s="939" t="s">
        <v>258</v>
      </c>
      <c r="B113" s="940"/>
      <c r="C113" s="906" t="s">
        <v>261</v>
      </c>
      <c r="D113" s="945" t="s">
        <v>218</v>
      </c>
      <c r="E113" s="854">
        <v>19506160802033</v>
      </c>
      <c r="F113" s="524">
        <v>15.5</v>
      </c>
      <c r="G113" s="507">
        <v>0.1</v>
      </c>
      <c r="H113" s="507">
        <v>-0.2</v>
      </c>
      <c r="I113" s="518">
        <v>0.3</v>
      </c>
      <c r="J113" s="893">
        <v>2</v>
      </c>
      <c r="K113" s="894">
        <v>43606</v>
      </c>
      <c r="L113" s="904" t="s">
        <v>387</v>
      </c>
      <c r="O113" s="119"/>
      <c r="P113" s="120" t="s">
        <v>255</v>
      </c>
      <c r="Q113" s="382" t="s">
        <v>256</v>
      </c>
      <c r="R113" s="382" t="s">
        <v>257</v>
      </c>
      <c r="S113" s="883" t="s">
        <v>390</v>
      </c>
      <c r="T113" s="839" t="s">
        <v>391</v>
      </c>
      <c r="U113" s="81"/>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row>
    <row r="114" spans="1:50" ht="30" customHeight="1" x14ac:dyDescent="0.2">
      <c r="A114" s="941"/>
      <c r="B114" s="942"/>
      <c r="C114" s="907"/>
      <c r="D114" s="901"/>
      <c r="E114" s="855"/>
      <c r="F114" s="510">
        <v>24.6</v>
      </c>
      <c r="G114" s="523">
        <v>0.1</v>
      </c>
      <c r="H114" s="523">
        <v>0.1</v>
      </c>
      <c r="I114" s="513">
        <v>0.3</v>
      </c>
      <c r="J114" s="858"/>
      <c r="K114" s="861"/>
      <c r="L114" s="864"/>
      <c r="O114" s="850" t="s">
        <v>254</v>
      </c>
      <c r="P114" s="158">
        <f>MAX(I113:I115)</f>
        <v>0.4</v>
      </c>
      <c r="Q114" s="159">
        <f>MAX(I116:I118)</f>
        <v>1.7</v>
      </c>
      <c r="R114" s="160">
        <f>MAX(I119:I121)</f>
        <v>0.56999999999999995</v>
      </c>
      <c r="S114" s="881"/>
      <c r="T114" s="840"/>
      <c r="U114" s="81"/>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row>
    <row r="115" spans="1:50" ht="30" customHeight="1" thickBot="1" x14ac:dyDescent="0.25">
      <c r="A115" s="943"/>
      <c r="B115" s="944"/>
      <c r="C115" s="907"/>
      <c r="D115" s="901"/>
      <c r="E115" s="855"/>
      <c r="F115" s="521">
        <v>33.9</v>
      </c>
      <c r="G115" s="522">
        <v>0.1</v>
      </c>
      <c r="H115" s="522">
        <v>0.3</v>
      </c>
      <c r="I115" s="517">
        <v>0.4</v>
      </c>
      <c r="J115" s="858"/>
      <c r="K115" s="861"/>
      <c r="L115" s="864"/>
      <c r="O115" s="851"/>
      <c r="P115" s="111"/>
      <c r="Q115" s="112"/>
      <c r="R115" s="112"/>
      <c r="S115" s="882"/>
      <c r="T115" s="841"/>
      <c r="U115" s="81"/>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row>
    <row r="116" spans="1:50" ht="30" customHeight="1" x14ac:dyDescent="0.2">
      <c r="A116" s="915" t="s">
        <v>259</v>
      </c>
      <c r="B116" s="936"/>
      <c r="C116" s="907"/>
      <c r="D116" s="901"/>
      <c r="E116" s="855"/>
      <c r="F116" s="506">
        <v>32.700000000000003</v>
      </c>
      <c r="G116" s="525">
        <v>0.1</v>
      </c>
      <c r="H116" s="525">
        <v>-2.7</v>
      </c>
      <c r="I116" s="526">
        <v>1.7</v>
      </c>
      <c r="J116" s="857">
        <v>2</v>
      </c>
      <c r="K116" s="860">
        <v>43608</v>
      </c>
      <c r="L116" s="887" t="s">
        <v>388</v>
      </c>
      <c r="O116" s="81"/>
      <c r="P116" s="81"/>
      <c r="Q116" s="81"/>
      <c r="R116" s="81"/>
      <c r="U116" s="81"/>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row>
    <row r="117" spans="1:50" ht="30" customHeight="1" x14ac:dyDescent="0.2">
      <c r="A117" s="917"/>
      <c r="B117" s="937"/>
      <c r="C117" s="907"/>
      <c r="D117" s="901"/>
      <c r="E117" s="855"/>
      <c r="F117" s="510">
        <v>50.7</v>
      </c>
      <c r="G117" s="527">
        <v>0.1</v>
      </c>
      <c r="H117" s="527">
        <v>-0.7</v>
      </c>
      <c r="I117" s="528">
        <v>1.7</v>
      </c>
      <c r="J117" s="858"/>
      <c r="K117" s="861"/>
      <c r="L117" s="864"/>
      <c r="O117" s="81"/>
      <c r="P117" s="81"/>
      <c r="Q117" s="81"/>
      <c r="R117" s="81"/>
      <c r="U117" s="81"/>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row>
    <row r="118" spans="1:50" ht="30" customHeight="1" thickBot="1" x14ac:dyDescent="0.25">
      <c r="A118" s="919"/>
      <c r="B118" s="938"/>
      <c r="C118" s="907"/>
      <c r="D118" s="901"/>
      <c r="E118" s="855"/>
      <c r="F118" s="521">
        <v>68.099999999999994</v>
      </c>
      <c r="G118" s="529">
        <v>0.1</v>
      </c>
      <c r="H118" s="529">
        <v>1.8</v>
      </c>
      <c r="I118" s="530">
        <v>1.7</v>
      </c>
      <c r="J118" s="858"/>
      <c r="K118" s="861"/>
      <c r="L118" s="864"/>
      <c r="O118" s="81"/>
      <c r="P118" s="81"/>
      <c r="Q118" s="81"/>
      <c r="R118" s="81"/>
      <c r="U118" s="81"/>
      <c r="V118" s="81"/>
      <c r="W118" s="100"/>
      <c r="X118" s="100"/>
      <c r="Y118" s="100"/>
      <c r="Z118" s="100"/>
      <c r="AA118" s="100"/>
      <c r="AB118" s="100"/>
      <c r="AC118" s="100"/>
      <c r="AD118" s="100"/>
      <c r="AE118" s="100"/>
      <c r="AF118" s="100"/>
      <c r="AG118" s="100"/>
      <c r="AH118" s="100"/>
      <c r="AI118" s="100"/>
      <c r="AJ118" s="100"/>
      <c r="AK118" s="100"/>
      <c r="AL118" s="100"/>
      <c r="AM118" s="100"/>
      <c r="AN118" s="100"/>
      <c r="AO118" s="100"/>
      <c r="AP118" s="100"/>
      <c r="AQ118" s="100"/>
      <c r="AR118" s="100"/>
      <c r="AS118" s="100"/>
      <c r="AT118" s="100"/>
      <c r="AU118" s="100"/>
      <c r="AV118" s="100"/>
      <c r="AW118" s="100"/>
      <c r="AX118" s="100"/>
    </row>
    <row r="119" spans="1:50" ht="30" customHeight="1" x14ac:dyDescent="0.2">
      <c r="A119" s="915" t="s">
        <v>289</v>
      </c>
      <c r="B119" s="936"/>
      <c r="C119" s="907"/>
      <c r="D119" s="901"/>
      <c r="E119" s="855"/>
      <c r="F119" s="524">
        <v>397.5</v>
      </c>
      <c r="G119" s="525">
        <v>0.1</v>
      </c>
      <c r="H119" s="757">
        <v>-1.67</v>
      </c>
      <c r="I119" s="758">
        <v>0.12</v>
      </c>
      <c r="J119" s="857">
        <v>2</v>
      </c>
      <c r="K119" s="860">
        <v>43587</v>
      </c>
      <c r="L119" s="863" t="s">
        <v>389</v>
      </c>
      <c r="O119" s="81"/>
      <c r="P119" s="81"/>
      <c r="Q119" s="81"/>
      <c r="R119" s="81"/>
      <c r="T119" s="121"/>
      <c r="U119" s="81"/>
      <c r="V119" s="81"/>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row>
    <row r="120" spans="1:50" ht="30" customHeight="1" x14ac:dyDescent="0.2">
      <c r="A120" s="917"/>
      <c r="B120" s="937"/>
      <c r="C120" s="907"/>
      <c r="D120" s="901"/>
      <c r="E120" s="855"/>
      <c r="F120" s="510">
        <v>798.5</v>
      </c>
      <c r="G120" s="527">
        <v>0.1</v>
      </c>
      <c r="H120" s="759">
        <v>-0.7</v>
      </c>
      <c r="I120" s="715">
        <v>0.27</v>
      </c>
      <c r="J120" s="858"/>
      <c r="K120" s="861"/>
      <c r="L120" s="864"/>
      <c r="O120" s="81"/>
      <c r="P120" s="81"/>
      <c r="Q120" s="81"/>
      <c r="R120" s="81"/>
      <c r="T120" s="98"/>
      <c r="U120" s="81"/>
      <c r="V120" s="81"/>
    </row>
    <row r="121" spans="1:50" ht="30" customHeight="1" thickBot="1" x14ac:dyDescent="0.25">
      <c r="A121" s="919"/>
      <c r="B121" s="938"/>
      <c r="C121" s="908"/>
      <c r="D121" s="902"/>
      <c r="E121" s="856"/>
      <c r="F121" s="521">
        <v>1099.5999999999999</v>
      </c>
      <c r="G121" s="529">
        <v>0.1</v>
      </c>
      <c r="H121" s="760">
        <v>-0.28999999999999998</v>
      </c>
      <c r="I121" s="716">
        <v>0.56999999999999995</v>
      </c>
      <c r="J121" s="859"/>
      <c r="K121" s="862"/>
      <c r="L121" s="865"/>
      <c r="O121" s="81"/>
      <c r="P121" s="81"/>
      <c r="Q121" s="81"/>
      <c r="R121" s="81"/>
      <c r="T121" s="98"/>
      <c r="U121" s="81"/>
      <c r="V121" s="81"/>
    </row>
    <row r="122" spans="1:50" ht="30" customHeight="1" thickBot="1" x14ac:dyDescent="0.25">
      <c r="A122" s="122"/>
      <c r="B122" s="123"/>
      <c r="C122" s="97"/>
      <c r="D122" s="124"/>
      <c r="E122" s="125"/>
      <c r="F122" s="97"/>
      <c r="G122" s="97"/>
      <c r="H122" s="97"/>
      <c r="I122" s="97"/>
      <c r="J122" s="97"/>
      <c r="K122" s="126"/>
      <c r="L122" s="127"/>
      <c r="O122" s="81"/>
      <c r="P122" s="81"/>
      <c r="Q122" s="81"/>
      <c r="R122" s="81"/>
      <c r="T122" s="98"/>
      <c r="U122" s="81"/>
      <c r="V122" s="81"/>
    </row>
    <row r="123" spans="1:50" ht="30" customHeight="1" thickBot="1" x14ac:dyDescent="0.25">
      <c r="A123" s="128"/>
      <c r="B123" s="107"/>
      <c r="C123" s="106"/>
      <c r="D123" s="106"/>
      <c r="E123" s="106"/>
      <c r="F123" s="106"/>
      <c r="G123" s="106"/>
      <c r="H123" s="106"/>
      <c r="I123" s="106"/>
      <c r="J123" s="106"/>
      <c r="K123" s="106"/>
      <c r="L123" s="106"/>
      <c r="O123" s="81"/>
      <c r="P123" s="81"/>
      <c r="Q123" s="81"/>
      <c r="R123" s="81"/>
      <c r="T123" s="98"/>
      <c r="U123" s="81"/>
      <c r="V123" s="81"/>
    </row>
    <row r="124" spans="1:50" ht="30" customHeight="1" x14ac:dyDescent="0.2">
      <c r="A124" s="925" t="s">
        <v>258</v>
      </c>
      <c r="B124" s="931"/>
      <c r="C124" s="906" t="s">
        <v>262</v>
      </c>
      <c r="D124" s="889" t="s">
        <v>218</v>
      </c>
      <c r="E124" s="854">
        <v>19406160802033</v>
      </c>
      <c r="F124" s="524">
        <v>15.3</v>
      </c>
      <c r="G124" s="507">
        <v>0.1</v>
      </c>
      <c r="H124" s="508">
        <v>-0.1</v>
      </c>
      <c r="I124" s="748">
        <v>0.3</v>
      </c>
      <c r="J124" s="893">
        <v>2</v>
      </c>
      <c r="K124" s="894">
        <v>43732</v>
      </c>
      <c r="L124" s="904" t="s">
        <v>439</v>
      </c>
      <c r="O124" s="753"/>
      <c r="P124" s="754" t="s">
        <v>255</v>
      </c>
      <c r="Q124" s="755" t="s">
        <v>256</v>
      </c>
      <c r="R124" s="755" t="s">
        <v>257</v>
      </c>
      <c r="S124" s="909" t="s">
        <v>442</v>
      </c>
      <c r="T124" s="912" t="s">
        <v>443</v>
      </c>
      <c r="U124" s="81"/>
      <c r="V124" s="81"/>
    </row>
    <row r="125" spans="1:50" ht="30" customHeight="1" x14ac:dyDescent="0.2">
      <c r="A125" s="932"/>
      <c r="B125" s="933"/>
      <c r="C125" s="907"/>
      <c r="D125" s="891"/>
      <c r="E125" s="855"/>
      <c r="F125" s="510">
        <v>24.8</v>
      </c>
      <c r="G125" s="523">
        <v>0.1</v>
      </c>
      <c r="H125" s="520">
        <v>0</v>
      </c>
      <c r="I125" s="749">
        <v>0.3</v>
      </c>
      <c r="J125" s="858"/>
      <c r="K125" s="861"/>
      <c r="L125" s="864"/>
      <c r="O125" s="852" t="s">
        <v>266</v>
      </c>
      <c r="P125" s="719">
        <f>MAX(I124:I126)</f>
        <v>0.3</v>
      </c>
      <c r="Q125" s="713">
        <f>MAX(I127:I129)</f>
        <v>1.7</v>
      </c>
      <c r="R125" s="713">
        <f>MAX(I130:I132)</f>
        <v>0.28999999999999998</v>
      </c>
      <c r="S125" s="910"/>
      <c r="T125" s="913"/>
      <c r="U125" s="81"/>
      <c r="V125" s="81"/>
    </row>
    <row r="126" spans="1:50" ht="30" customHeight="1" thickBot="1" x14ac:dyDescent="0.25">
      <c r="A126" s="934"/>
      <c r="B126" s="935"/>
      <c r="C126" s="907"/>
      <c r="D126" s="891"/>
      <c r="E126" s="855"/>
      <c r="F126" s="521">
        <v>29.6</v>
      </c>
      <c r="G126" s="522">
        <v>0.1</v>
      </c>
      <c r="H126" s="522">
        <v>0.1</v>
      </c>
      <c r="I126" s="517">
        <v>0.3</v>
      </c>
      <c r="J126" s="858"/>
      <c r="K126" s="861"/>
      <c r="L126" s="864"/>
      <c r="O126" s="853"/>
      <c r="P126" s="714"/>
      <c r="Q126" s="756"/>
      <c r="R126" s="756"/>
      <c r="S126" s="911"/>
      <c r="T126" s="914"/>
      <c r="U126" s="81"/>
      <c r="V126" s="81"/>
    </row>
    <row r="127" spans="1:50" ht="30" customHeight="1" x14ac:dyDescent="0.2">
      <c r="A127" s="915" t="s">
        <v>259</v>
      </c>
      <c r="B127" s="916"/>
      <c r="C127" s="907"/>
      <c r="D127" s="891"/>
      <c r="E127" s="855"/>
      <c r="F127" s="506">
        <v>32.299999999999997</v>
      </c>
      <c r="G127" s="507">
        <v>0.1</v>
      </c>
      <c r="H127" s="507">
        <v>-2.2999999999999998</v>
      </c>
      <c r="I127" s="518">
        <v>1.7</v>
      </c>
      <c r="J127" s="886">
        <v>2</v>
      </c>
      <c r="K127" s="860">
        <v>43733</v>
      </c>
      <c r="L127" s="887" t="s">
        <v>440</v>
      </c>
      <c r="O127" s="81"/>
      <c r="P127" s="81"/>
      <c r="Q127" s="81"/>
      <c r="R127" s="81"/>
      <c r="T127" s="98"/>
      <c r="U127" s="81"/>
      <c r="V127" s="81"/>
    </row>
    <row r="128" spans="1:50" ht="30" customHeight="1" x14ac:dyDescent="0.2">
      <c r="A128" s="917"/>
      <c r="B128" s="918"/>
      <c r="C128" s="907"/>
      <c r="D128" s="891"/>
      <c r="E128" s="855"/>
      <c r="F128" s="510">
        <v>50.6</v>
      </c>
      <c r="G128" s="523">
        <v>0.1</v>
      </c>
      <c r="H128" s="523">
        <v>-0.6</v>
      </c>
      <c r="I128" s="513">
        <v>1.7</v>
      </c>
      <c r="J128" s="858">
        <v>2</v>
      </c>
      <c r="K128" s="861"/>
      <c r="L128" s="864"/>
      <c r="O128" s="81"/>
      <c r="P128" s="81"/>
      <c r="Q128" s="81"/>
      <c r="R128" s="81"/>
      <c r="T128" s="98"/>
      <c r="U128" s="81"/>
      <c r="V128" s="81"/>
    </row>
    <row r="129" spans="1:22" ht="30" customHeight="1" thickBot="1" x14ac:dyDescent="0.25">
      <c r="A129" s="919"/>
      <c r="B129" s="920"/>
      <c r="C129" s="907"/>
      <c r="D129" s="891"/>
      <c r="E129" s="855"/>
      <c r="F129" s="521">
        <v>68.599999999999994</v>
      </c>
      <c r="G129" s="522">
        <v>0.1</v>
      </c>
      <c r="H129" s="522">
        <v>1.4</v>
      </c>
      <c r="I129" s="517">
        <v>1.7</v>
      </c>
      <c r="J129" s="858"/>
      <c r="K129" s="861"/>
      <c r="L129" s="864"/>
      <c r="O129" s="81"/>
      <c r="P129" s="81"/>
      <c r="Q129" s="81"/>
      <c r="R129" s="81"/>
      <c r="T129" s="98"/>
      <c r="U129" s="81"/>
      <c r="V129" s="81"/>
    </row>
    <row r="130" spans="1:22" ht="30" customHeight="1" x14ac:dyDescent="0.2">
      <c r="A130" s="915" t="s">
        <v>289</v>
      </c>
      <c r="B130" s="916"/>
      <c r="C130" s="907"/>
      <c r="D130" s="891"/>
      <c r="E130" s="855"/>
      <c r="F130" s="524">
        <v>497.8</v>
      </c>
      <c r="G130" s="507">
        <v>0.1</v>
      </c>
      <c r="H130" s="750">
        <v>-1.4</v>
      </c>
      <c r="I130" s="718">
        <v>0.17</v>
      </c>
      <c r="J130" s="886">
        <v>2</v>
      </c>
      <c r="K130" s="860">
        <v>43733</v>
      </c>
      <c r="L130" s="903" t="s">
        <v>441</v>
      </c>
      <c r="O130" s="81"/>
      <c r="P130" s="81"/>
      <c r="Q130" s="81"/>
      <c r="R130" s="81"/>
      <c r="T130" s="98"/>
      <c r="U130" s="81"/>
      <c r="V130" s="81"/>
    </row>
    <row r="131" spans="1:22" ht="30" customHeight="1" x14ac:dyDescent="0.2">
      <c r="A131" s="917"/>
      <c r="B131" s="918"/>
      <c r="C131" s="907"/>
      <c r="D131" s="891"/>
      <c r="E131" s="855"/>
      <c r="F131" s="510">
        <v>698.2</v>
      </c>
      <c r="G131" s="523">
        <v>0.1</v>
      </c>
      <c r="H131" s="751">
        <v>-0.92</v>
      </c>
      <c r="I131" s="715">
        <v>0.11</v>
      </c>
      <c r="J131" s="858">
        <v>2</v>
      </c>
      <c r="K131" s="861">
        <v>42671</v>
      </c>
      <c r="L131" s="864" t="s">
        <v>237</v>
      </c>
      <c r="O131" s="81"/>
      <c r="P131" s="81"/>
      <c r="Q131" s="81"/>
      <c r="R131" s="81"/>
      <c r="T131" s="98"/>
      <c r="U131" s="81"/>
      <c r="V131" s="81"/>
    </row>
    <row r="132" spans="1:22" ht="30" customHeight="1" thickBot="1" x14ac:dyDescent="0.25">
      <c r="A132" s="919"/>
      <c r="B132" s="920"/>
      <c r="C132" s="908"/>
      <c r="D132" s="892"/>
      <c r="E132" s="856"/>
      <c r="F132" s="521">
        <v>1098.8</v>
      </c>
      <c r="G132" s="522">
        <v>0.1</v>
      </c>
      <c r="H132" s="752">
        <v>-0.68</v>
      </c>
      <c r="I132" s="716">
        <v>0.28999999999999998</v>
      </c>
      <c r="J132" s="859"/>
      <c r="K132" s="862"/>
      <c r="L132" s="865"/>
      <c r="O132" s="81"/>
      <c r="P132" s="81"/>
      <c r="Q132" s="81"/>
      <c r="R132" s="81"/>
      <c r="T132" s="98"/>
      <c r="U132" s="81"/>
      <c r="V132" s="81"/>
    </row>
    <row r="133" spans="1:22" ht="30" customHeight="1" thickBot="1" x14ac:dyDescent="0.25">
      <c r="A133" s="103"/>
      <c r="B133" s="106"/>
      <c r="C133" s="82"/>
      <c r="D133" s="82"/>
      <c r="E133" s="82"/>
      <c r="F133" s="82"/>
      <c r="G133" s="82"/>
      <c r="H133" s="82"/>
      <c r="I133" s="82"/>
      <c r="J133" s="82"/>
      <c r="K133" s="82"/>
      <c r="L133" s="82"/>
      <c r="O133" s="81"/>
      <c r="P133" s="81"/>
      <c r="Q133" s="81"/>
      <c r="R133" s="81"/>
      <c r="T133" s="98"/>
      <c r="U133" s="81"/>
      <c r="V133" s="81"/>
    </row>
    <row r="134" spans="1:22" ht="30" customHeight="1" x14ac:dyDescent="0.2">
      <c r="A134" s="888" t="s">
        <v>258</v>
      </c>
      <c r="B134" s="889"/>
      <c r="C134" s="900" t="s">
        <v>263</v>
      </c>
      <c r="D134" s="889" t="s">
        <v>218</v>
      </c>
      <c r="E134" s="854" t="s">
        <v>235</v>
      </c>
      <c r="F134" s="506">
        <v>15.5</v>
      </c>
      <c r="G134" s="507">
        <v>0.1</v>
      </c>
      <c r="H134" s="508">
        <v>-0.2</v>
      </c>
      <c r="I134" s="531">
        <v>0.3</v>
      </c>
      <c r="J134" s="905">
        <v>2</v>
      </c>
      <c r="K134" s="894">
        <v>43599</v>
      </c>
      <c r="L134" s="904" t="s">
        <v>392</v>
      </c>
      <c r="O134" s="119"/>
      <c r="P134" s="120" t="s">
        <v>255</v>
      </c>
      <c r="Q134" s="382" t="s">
        <v>256</v>
      </c>
      <c r="R134" s="382" t="s">
        <v>257</v>
      </c>
      <c r="S134" s="883" t="s">
        <v>395</v>
      </c>
      <c r="T134" s="839" t="s">
        <v>396</v>
      </c>
      <c r="U134" s="81"/>
      <c r="V134" s="81"/>
    </row>
    <row r="135" spans="1:22" ht="30" customHeight="1" x14ac:dyDescent="0.2">
      <c r="A135" s="890"/>
      <c r="B135" s="891"/>
      <c r="C135" s="901"/>
      <c r="D135" s="891"/>
      <c r="E135" s="855"/>
      <c r="F135" s="510">
        <v>24.6</v>
      </c>
      <c r="G135" s="523">
        <v>0.1</v>
      </c>
      <c r="H135" s="520">
        <v>0.1</v>
      </c>
      <c r="I135" s="532">
        <v>0.3</v>
      </c>
      <c r="J135" s="898"/>
      <c r="K135" s="861"/>
      <c r="L135" s="864"/>
      <c r="O135" s="850" t="s">
        <v>252</v>
      </c>
      <c r="P135" s="161">
        <f>MAX(I134:I136)</f>
        <v>0.3</v>
      </c>
      <c r="Q135" s="375">
        <f>MAX(I137:I139)</f>
        <v>1.7</v>
      </c>
      <c r="R135" s="375">
        <f>MAX(I140:I142)</f>
        <v>0.34</v>
      </c>
      <c r="S135" s="881"/>
      <c r="T135" s="840"/>
      <c r="U135" s="81"/>
      <c r="V135" s="81"/>
    </row>
    <row r="136" spans="1:22" ht="30" customHeight="1" thickBot="1" x14ac:dyDescent="0.25">
      <c r="A136" s="890"/>
      <c r="B136" s="891"/>
      <c r="C136" s="901"/>
      <c r="D136" s="891"/>
      <c r="E136" s="855"/>
      <c r="F136" s="514">
        <v>29.2</v>
      </c>
      <c r="G136" s="522">
        <v>0.1</v>
      </c>
      <c r="H136" s="533">
        <v>0.3</v>
      </c>
      <c r="I136" s="534">
        <v>0.3</v>
      </c>
      <c r="J136" s="898">
        <v>1.96</v>
      </c>
      <c r="K136" s="861"/>
      <c r="L136" s="864"/>
      <c r="O136" s="851"/>
      <c r="P136" s="111"/>
      <c r="Q136" s="112"/>
      <c r="R136" s="112"/>
      <c r="S136" s="882"/>
      <c r="T136" s="841"/>
      <c r="U136" s="81"/>
      <c r="V136" s="81"/>
    </row>
    <row r="137" spans="1:22" ht="30" customHeight="1" x14ac:dyDescent="0.2">
      <c r="A137" s="884" t="s">
        <v>259</v>
      </c>
      <c r="B137" s="885"/>
      <c r="C137" s="901"/>
      <c r="D137" s="891"/>
      <c r="E137" s="855"/>
      <c r="F137" s="506">
        <v>33.6</v>
      </c>
      <c r="G137" s="507">
        <v>0.1</v>
      </c>
      <c r="H137" s="507">
        <v>-3.6</v>
      </c>
      <c r="I137" s="718">
        <v>1.7</v>
      </c>
      <c r="J137" s="897">
        <v>2</v>
      </c>
      <c r="K137" s="860">
        <v>43600</v>
      </c>
      <c r="L137" s="887" t="s">
        <v>393</v>
      </c>
      <c r="O137" s="81"/>
      <c r="P137" s="81"/>
      <c r="Q137" s="81"/>
      <c r="R137" s="81"/>
      <c r="T137" s="98"/>
      <c r="U137" s="81"/>
      <c r="V137" s="81"/>
    </row>
    <row r="138" spans="1:22" ht="30" customHeight="1" x14ac:dyDescent="0.2">
      <c r="A138" s="884"/>
      <c r="B138" s="885"/>
      <c r="C138" s="901"/>
      <c r="D138" s="891"/>
      <c r="E138" s="855"/>
      <c r="F138" s="510">
        <v>51.2</v>
      </c>
      <c r="G138" s="523">
        <v>0.1</v>
      </c>
      <c r="H138" s="523">
        <v>-1.2</v>
      </c>
      <c r="I138" s="715">
        <v>1.7</v>
      </c>
      <c r="J138" s="898">
        <v>1.96</v>
      </c>
      <c r="K138" s="861"/>
      <c r="L138" s="864"/>
      <c r="O138" s="81"/>
      <c r="P138" s="81"/>
      <c r="Q138" s="81"/>
      <c r="R138" s="81"/>
      <c r="T138" s="98"/>
      <c r="U138" s="81"/>
      <c r="V138" s="81"/>
    </row>
    <row r="139" spans="1:22" ht="30" customHeight="1" thickBot="1" x14ac:dyDescent="0.25">
      <c r="A139" s="884"/>
      <c r="B139" s="885"/>
      <c r="C139" s="901"/>
      <c r="D139" s="891"/>
      <c r="E139" s="855"/>
      <c r="F139" s="521">
        <v>68.5</v>
      </c>
      <c r="G139" s="522">
        <v>0.1</v>
      </c>
      <c r="H139" s="522">
        <v>1.5</v>
      </c>
      <c r="I139" s="716">
        <v>1.7</v>
      </c>
      <c r="J139" s="898"/>
      <c r="K139" s="861"/>
      <c r="L139" s="864"/>
      <c r="O139" s="81"/>
      <c r="P139" s="81"/>
      <c r="Q139" s="81"/>
      <c r="R139" s="81"/>
      <c r="T139" s="98"/>
      <c r="U139" s="81"/>
      <c r="V139" s="81"/>
    </row>
    <row r="140" spans="1:22" ht="30" customHeight="1" x14ac:dyDescent="0.2">
      <c r="A140" s="884" t="s">
        <v>289</v>
      </c>
      <c r="B140" s="885"/>
      <c r="C140" s="901"/>
      <c r="D140" s="891"/>
      <c r="E140" s="855"/>
      <c r="F140" s="506">
        <v>698.3</v>
      </c>
      <c r="G140" s="507">
        <v>0.1</v>
      </c>
      <c r="H140" s="507">
        <v>-0.92</v>
      </c>
      <c r="I140" s="718">
        <v>0.11</v>
      </c>
      <c r="J140" s="897">
        <v>2</v>
      </c>
      <c r="K140" s="860">
        <v>43600</v>
      </c>
      <c r="L140" s="903" t="s">
        <v>394</v>
      </c>
      <c r="O140" s="81"/>
      <c r="P140" s="81"/>
      <c r="Q140" s="81"/>
      <c r="R140" s="81"/>
      <c r="T140" s="82"/>
    </row>
    <row r="141" spans="1:22" ht="30" customHeight="1" x14ac:dyDescent="0.2">
      <c r="A141" s="884"/>
      <c r="B141" s="885"/>
      <c r="C141" s="901"/>
      <c r="D141" s="891"/>
      <c r="E141" s="855"/>
      <c r="F141" s="510">
        <v>798.4</v>
      </c>
      <c r="G141" s="523">
        <v>0.1</v>
      </c>
      <c r="H141" s="751">
        <v>-0.82099999999999995</v>
      </c>
      <c r="I141" s="715">
        <v>8.7999999999999995E-2</v>
      </c>
      <c r="J141" s="898">
        <v>2</v>
      </c>
      <c r="K141" s="861">
        <v>42625</v>
      </c>
      <c r="L141" s="864" t="s">
        <v>236</v>
      </c>
      <c r="O141" s="81"/>
      <c r="P141" s="81"/>
      <c r="Q141" s="81"/>
      <c r="R141" s="81"/>
      <c r="T141" s="82"/>
    </row>
    <row r="142" spans="1:22" ht="30" customHeight="1" thickBot="1" x14ac:dyDescent="0.25">
      <c r="A142" s="895"/>
      <c r="B142" s="896"/>
      <c r="C142" s="902"/>
      <c r="D142" s="892"/>
      <c r="E142" s="856"/>
      <c r="F142" s="521">
        <v>848.7</v>
      </c>
      <c r="G142" s="522">
        <v>0.1</v>
      </c>
      <c r="H142" s="522">
        <v>-0.75</v>
      </c>
      <c r="I142" s="716">
        <v>0.34</v>
      </c>
      <c r="J142" s="899"/>
      <c r="K142" s="862"/>
      <c r="L142" s="865"/>
      <c r="O142" s="81"/>
      <c r="P142" s="81"/>
      <c r="Q142" s="81"/>
      <c r="R142" s="81"/>
      <c r="T142" s="82"/>
    </row>
    <row r="143" spans="1:22" ht="30" customHeight="1" thickBot="1" x14ac:dyDescent="0.25">
      <c r="A143" s="130"/>
      <c r="B143" s="82"/>
      <c r="C143" s="82"/>
      <c r="D143" s="82"/>
      <c r="E143" s="82"/>
      <c r="F143" s="82"/>
      <c r="G143" s="82"/>
      <c r="H143" s="82"/>
      <c r="I143" s="82"/>
      <c r="J143" s="82"/>
      <c r="K143" s="82"/>
      <c r="L143" s="82"/>
      <c r="O143" s="81"/>
      <c r="P143" s="81"/>
      <c r="Q143" s="81"/>
      <c r="R143" s="81"/>
      <c r="T143" s="82"/>
    </row>
    <row r="144" spans="1:22" ht="30" customHeight="1" x14ac:dyDescent="0.2">
      <c r="A144" s="888" t="s">
        <v>258</v>
      </c>
      <c r="B144" s="889"/>
      <c r="C144" s="900" t="s">
        <v>264</v>
      </c>
      <c r="D144" s="889" t="s">
        <v>218</v>
      </c>
      <c r="E144" s="866" t="s">
        <v>232</v>
      </c>
      <c r="F144" s="506">
        <v>15.4</v>
      </c>
      <c r="G144" s="507">
        <v>0.1</v>
      </c>
      <c r="H144" s="508">
        <v>-0.1</v>
      </c>
      <c r="I144" s="531">
        <v>0.3</v>
      </c>
      <c r="J144" s="893">
        <v>2</v>
      </c>
      <c r="K144" s="894">
        <v>43599</v>
      </c>
      <c r="L144" s="904" t="s">
        <v>397</v>
      </c>
      <c r="O144" s="119"/>
      <c r="P144" s="120" t="s">
        <v>255</v>
      </c>
      <c r="Q144" s="382" t="s">
        <v>256</v>
      </c>
      <c r="R144" s="382" t="s">
        <v>257</v>
      </c>
      <c r="S144" s="883" t="s">
        <v>400</v>
      </c>
      <c r="T144" s="839" t="s">
        <v>401</v>
      </c>
    </row>
    <row r="145" spans="1:20" ht="30" customHeight="1" x14ac:dyDescent="0.2">
      <c r="A145" s="890"/>
      <c r="B145" s="891"/>
      <c r="C145" s="901"/>
      <c r="D145" s="891"/>
      <c r="E145" s="855"/>
      <c r="F145" s="519">
        <v>24.7</v>
      </c>
      <c r="G145" s="523">
        <v>0.1</v>
      </c>
      <c r="H145" s="520">
        <v>0</v>
      </c>
      <c r="I145" s="532">
        <v>0.3</v>
      </c>
      <c r="J145" s="858"/>
      <c r="K145" s="861"/>
      <c r="L145" s="864"/>
      <c r="O145" s="850" t="s">
        <v>267</v>
      </c>
      <c r="P145" s="161">
        <f>MAX(I144:I146)</f>
        <v>0.3</v>
      </c>
      <c r="Q145" s="375">
        <f>MAX(I147:I149)</f>
        <v>1.7</v>
      </c>
      <c r="R145" s="375">
        <f>MAX(I150:I152)</f>
        <v>0.11</v>
      </c>
      <c r="S145" s="881"/>
      <c r="T145" s="840"/>
    </row>
    <row r="146" spans="1:20" ht="30" customHeight="1" thickBot="1" x14ac:dyDescent="0.25">
      <c r="A146" s="890"/>
      <c r="B146" s="891"/>
      <c r="C146" s="901"/>
      <c r="D146" s="891"/>
      <c r="E146" s="855"/>
      <c r="F146" s="514">
        <v>29.4</v>
      </c>
      <c r="G146" s="522">
        <v>0.1</v>
      </c>
      <c r="H146" s="533">
        <v>0.1</v>
      </c>
      <c r="I146" s="535">
        <v>0.3</v>
      </c>
      <c r="J146" s="858"/>
      <c r="K146" s="861"/>
      <c r="L146" s="864"/>
      <c r="O146" s="851"/>
      <c r="P146" s="111"/>
      <c r="Q146" s="112"/>
      <c r="R146" s="112"/>
      <c r="S146" s="882"/>
      <c r="T146" s="841"/>
    </row>
    <row r="147" spans="1:20" ht="30" customHeight="1" x14ac:dyDescent="0.2">
      <c r="A147" s="884" t="s">
        <v>259</v>
      </c>
      <c r="B147" s="885"/>
      <c r="C147" s="901"/>
      <c r="D147" s="891"/>
      <c r="E147" s="855"/>
      <c r="F147" s="506">
        <v>33.6</v>
      </c>
      <c r="G147" s="507">
        <v>0.1</v>
      </c>
      <c r="H147" s="507">
        <v>-3.6</v>
      </c>
      <c r="I147" s="718">
        <v>1.7</v>
      </c>
      <c r="J147" s="886">
        <v>2</v>
      </c>
      <c r="K147" s="860">
        <v>43600</v>
      </c>
      <c r="L147" s="887" t="s">
        <v>398</v>
      </c>
      <c r="O147" s="81"/>
      <c r="P147" s="81"/>
      <c r="Q147" s="81"/>
      <c r="R147" s="81"/>
      <c r="T147" s="82"/>
    </row>
    <row r="148" spans="1:20" ht="30" customHeight="1" x14ac:dyDescent="0.2">
      <c r="A148" s="884"/>
      <c r="B148" s="885"/>
      <c r="C148" s="901"/>
      <c r="D148" s="891"/>
      <c r="E148" s="855"/>
      <c r="F148" s="510">
        <v>51.2</v>
      </c>
      <c r="G148" s="523">
        <v>0.1</v>
      </c>
      <c r="H148" s="523">
        <v>-1.2</v>
      </c>
      <c r="I148" s="717">
        <v>1.7</v>
      </c>
      <c r="J148" s="858"/>
      <c r="K148" s="861"/>
      <c r="L148" s="864"/>
      <c r="O148" s="81"/>
      <c r="P148" s="81"/>
      <c r="Q148" s="81"/>
      <c r="R148" s="81"/>
      <c r="T148" s="82"/>
    </row>
    <row r="149" spans="1:20" ht="30" customHeight="1" thickBot="1" x14ac:dyDescent="0.25">
      <c r="A149" s="884"/>
      <c r="B149" s="885"/>
      <c r="C149" s="901"/>
      <c r="D149" s="891"/>
      <c r="E149" s="855"/>
      <c r="F149" s="521">
        <v>68.3</v>
      </c>
      <c r="G149" s="522">
        <v>0.1</v>
      </c>
      <c r="H149" s="522">
        <v>1.7</v>
      </c>
      <c r="I149" s="536">
        <v>1.7</v>
      </c>
      <c r="J149" s="858"/>
      <c r="K149" s="861"/>
      <c r="L149" s="864"/>
      <c r="O149" s="81"/>
      <c r="P149" s="81"/>
      <c r="Q149" s="81"/>
      <c r="R149" s="81"/>
      <c r="T149" s="82"/>
    </row>
    <row r="150" spans="1:20" ht="30" customHeight="1" x14ac:dyDescent="0.2">
      <c r="A150" s="884" t="s">
        <v>289</v>
      </c>
      <c r="B150" s="885"/>
      <c r="C150" s="901"/>
      <c r="D150" s="891"/>
      <c r="E150" s="855"/>
      <c r="F150" s="524">
        <v>698.2</v>
      </c>
      <c r="G150" s="507">
        <v>0.1</v>
      </c>
      <c r="H150" s="507">
        <v>-0.99</v>
      </c>
      <c r="I150" s="718">
        <v>6.8000000000000005E-2</v>
      </c>
      <c r="J150" s="897">
        <v>1.96</v>
      </c>
      <c r="K150" s="860">
        <v>43600</v>
      </c>
      <c r="L150" s="903" t="s">
        <v>399</v>
      </c>
      <c r="O150" s="82"/>
      <c r="T150" s="82"/>
    </row>
    <row r="151" spans="1:20" ht="30" customHeight="1" x14ac:dyDescent="0.2">
      <c r="A151" s="884"/>
      <c r="B151" s="885"/>
      <c r="C151" s="901"/>
      <c r="D151" s="891"/>
      <c r="E151" s="855"/>
      <c r="F151" s="510">
        <v>751.8</v>
      </c>
      <c r="G151" s="523">
        <v>0.1</v>
      </c>
      <c r="H151" s="751">
        <v>-0.88</v>
      </c>
      <c r="I151" s="715">
        <v>8.6999999999999994E-2</v>
      </c>
      <c r="J151" s="898">
        <v>1.96</v>
      </c>
      <c r="K151" s="861">
        <v>42586</v>
      </c>
      <c r="L151" s="864" t="s">
        <v>233</v>
      </c>
      <c r="O151" s="82"/>
      <c r="T151" s="82"/>
    </row>
    <row r="152" spans="1:20" ht="30" customHeight="1" thickBot="1" x14ac:dyDescent="0.25">
      <c r="A152" s="895"/>
      <c r="B152" s="896"/>
      <c r="C152" s="902"/>
      <c r="D152" s="892"/>
      <c r="E152" s="856"/>
      <c r="F152" s="521">
        <v>798.4</v>
      </c>
      <c r="G152" s="522">
        <v>0.1</v>
      </c>
      <c r="H152" s="522">
        <v>-0.73</v>
      </c>
      <c r="I152" s="716">
        <v>0.11</v>
      </c>
      <c r="J152" s="899">
        <v>2</v>
      </c>
      <c r="K152" s="862">
        <v>42625</v>
      </c>
      <c r="L152" s="865" t="s">
        <v>234</v>
      </c>
      <c r="O152" s="82"/>
      <c r="T152" s="82"/>
    </row>
    <row r="153" spans="1:20" ht="30" customHeight="1" thickBot="1" x14ac:dyDescent="0.25"/>
    <row r="154" spans="1:20" ht="30" customHeight="1" thickBot="1" x14ac:dyDescent="0.25">
      <c r="A154" s="842" t="s">
        <v>290</v>
      </c>
      <c r="B154" s="843"/>
      <c r="C154" s="843"/>
      <c r="D154" s="843"/>
      <c r="E154" s="843"/>
      <c r="F154" s="844"/>
      <c r="H154" s="842" t="s">
        <v>224</v>
      </c>
      <c r="I154" s="843"/>
      <c r="J154" s="843"/>
      <c r="K154" s="844"/>
    </row>
    <row r="155" spans="1:20" ht="30" customHeight="1" thickBot="1" x14ac:dyDescent="0.25">
      <c r="A155" s="344" t="s">
        <v>132</v>
      </c>
      <c r="B155" s="1017" t="s">
        <v>355</v>
      </c>
      <c r="C155" s="1018"/>
      <c r="D155" s="1018"/>
      <c r="E155" s="1018"/>
      <c r="F155" s="1019"/>
      <c r="H155" s="845" t="s">
        <v>326</v>
      </c>
      <c r="I155" s="846"/>
      <c r="J155" s="846"/>
      <c r="K155" s="847"/>
    </row>
    <row r="156" spans="1:20" ht="30" customHeight="1" x14ac:dyDescent="0.2">
      <c r="A156" s="162"/>
      <c r="B156" s="1020"/>
      <c r="C156" s="1021"/>
      <c r="D156" s="1022"/>
      <c r="E156" s="1023"/>
      <c r="F156" s="345"/>
      <c r="H156" s="131">
        <v>5</v>
      </c>
      <c r="I156" s="132" t="s">
        <v>182</v>
      </c>
      <c r="J156" s="133">
        <v>8200</v>
      </c>
      <c r="K156" s="96"/>
    </row>
    <row r="157" spans="1:20" ht="30" customHeight="1" x14ac:dyDescent="0.2">
      <c r="A157" s="136" t="s">
        <v>204</v>
      </c>
      <c r="B157" s="1015" t="s">
        <v>205</v>
      </c>
      <c r="C157" s="1015"/>
      <c r="D157" s="1015" t="s">
        <v>317</v>
      </c>
      <c r="E157" s="1015"/>
      <c r="F157" s="491" t="s">
        <v>318</v>
      </c>
      <c r="H157" s="361">
        <v>7.8E-2</v>
      </c>
      <c r="I157" s="134"/>
      <c r="J157" s="362">
        <v>5.5999999999999997E-6</v>
      </c>
      <c r="K157" s="135"/>
    </row>
    <row r="158" spans="1:20" ht="30" customHeight="1" thickBot="1" x14ac:dyDescent="0.25">
      <c r="A158" s="136" t="s">
        <v>206</v>
      </c>
      <c r="B158" s="1015" t="s">
        <v>207</v>
      </c>
      <c r="C158" s="1015"/>
      <c r="D158" s="1015" t="s">
        <v>319</v>
      </c>
      <c r="E158" s="1015"/>
      <c r="F158" s="491" t="s">
        <v>318</v>
      </c>
    </row>
    <row r="159" spans="1:20" ht="42.75" customHeight="1" thickBot="1" x14ac:dyDescent="0.25">
      <c r="A159" s="137" t="s">
        <v>208</v>
      </c>
      <c r="B159" s="1016" t="s">
        <v>209</v>
      </c>
      <c r="C159" s="1016"/>
      <c r="D159" s="1016" t="s">
        <v>318</v>
      </c>
      <c r="E159" s="1016"/>
      <c r="F159" s="492" t="s">
        <v>318</v>
      </c>
      <c r="G159" s="493" t="s">
        <v>288</v>
      </c>
      <c r="H159" s="494" t="str">
        <f>D99</f>
        <v>Fabricante</v>
      </c>
      <c r="I159" s="495" t="str">
        <f>E99</f>
        <v>Identificación / Serie</v>
      </c>
      <c r="J159" s="495" t="str">
        <f>S99</f>
        <v>Fecha de Calibración</v>
      </c>
      <c r="K159" s="495" t="str">
        <f>T99</f>
        <v>Trazabilidad y numero</v>
      </c>
      <c r="L159" s="495" t="s">
        <v>255</v>
      </c>
      <c r="M159" s="495" t="s">
        <v>256</v>
      </c>
      <c r="N159" s="495" t="s">
        <v>257</v>
      </c>
      <c r="O159" s="495" t="s">
        <v>311</v>
      </c>
      <c r="P159" s="495" t="s">
        <v>312</v>
      </c>
      <c r="Q159" s="495" t="s">
        <v>313</v>
      </c>
      <c r="R159" s="495" t="s">
        <v>314</v>
      </c>
      <c r="S159" s="495" t="s">
        <v>315</v>
      </c>
      <c r="T159" s="496" t="s">
        <v>316</v>
      </c>
    </row>
    <row r="160" spans="1:20" ht="50.1" customHeight="1" thickBot="1" x14ac:dyDescent="0.25">
      <c r="G160" s="357"/>
      <c r="H160" s="358"/>
      <c r="I160" s="358"/>
      <c r="J160" s="358"/>
      <c r="K160" s="358"/>
      <c r="L160" s="358"/>
      <c r="M160" s="358"/>
      <c r="N160" s="358"/>
      <c r="O160" s="358"/>
      <c r="P160" s="359"/>
      <c r="Q160" s="359"/>
      <c r="R160" s="359"/>
      <c r="S160" s="359"/>
      <c r="T160" s="141"/>
    </row>
    <row r="161" spans="7:20" ht="50.1" customHeight="1" x14ac:dyDescent="0.2">
      <c r="G161" s="812" t="str">
        <f>O103</f>
        <v>V-002</v>
      </c>
      <c r="H161" s="710" t="str">
        <f>D102</f>
        <v>Lufft Opus 20</v>
      </c>
      <c r="I161" s="813" t="str">
        <f>E102</f>
        <v>0,23.0714.0802.024</v>
      </c>
      <c r="J161" s="795" t="str">
        <f>S102</f>
        <v>21/05/2019 / - 23/05/2019 -    15/05/2019</v>
      </c>
      <c r="K161" s="754" t="str">
        <f>T102</f>
        <v>INM  3998- 4006-2313</v>
      </c>
      <c r="L161" s="710">
        <f>P103</f>
        <v>0.3</v>
      </c>
      <c r="M161" s="710">
        <f t="shared" ref="M161:N161" si="9">Q103</f>
        <v>1.7</v>
      </c>
      <c r="N161" s="710">
        <f t="shared" si="9"/>
        <v>0.31</v>
      </c>
      <c r="O161" s="711">
        <f>SLOPE(H102:H104,F102:F104)</f>
        <v>7.6498785212423676E-3</v>
      </c>
      <c r="P161" s="711">
        <f>INTERCEPT(H102:H104,F102:F104)</f>
        <v>-0.21055551907544817</v>
      </c>
      <c r="Q161" s="711">
        <f>SLOPE(H105:H107,F105:F107)</f>
        <v>0.13760217983651227</v>
      </c>
      <c r="R161" s="711">
        <f>INTERCEPT(H105:H107,F105:F107)</f>
        <v>-7.9455040871934619</v>
      </c>
      <c r="S161" s="711">
        <f>SLOPE(H108:H110,F108:F110)</f>
        <v>1.5943723491910079E-3</v>
      </c>
      <c r="T161" s="814">
        <f>INTERCEPT(H108:H110,F108:F110)</f>
        <v>-2.0970938235192236</v>
      </c>
    </row>
    <row r="162" spans="7:20" ht="50.1" customHeight="1" x14ac:dyDescent="0.2">
      <c r="G162" s="815" t="str">
        <f>O135</f>
        <v>M-010</v>
      </c>
      <c r="H162" s="720" t="str">
        <f>D134</f>
        <v>Lufft Opus 20</v>
      </c>
      <c r="I162" s="816" t="str">
        <f>E134</f>
        <v>0,26.0714.0802.024</v>
      </c>
      <c r="J162" s="796" t="str">
        <f>S134</f>
        <v>14/05/2019- 15/05/2019    15/05/2019</v>
      </c>
      <c r="K162" s="719" t="str">
        <f>T134</f>
        <v>INM 3985 - INM 3987 -   INM 2314</v>
      </c>
      <c r="L162" s="817">
        <f>P135</f>
        <v>0.3</v>
      </c>
      <c r="M162" s="817">
        <f t="shared" ref="M162:N162" si="10">Q135</f>
        <v>1.7</v>
      </c>
      <c r="N162" s="818">
        <f t="shared" si="10"/>
        <v>0.34</v>
      </c>
      <c r="O162" s="712">
        <f>SLOPE(H134:H136,F134:F136)</f>
        <v>3.6000822875951452E-2</v>
      </c>
      <c r="P162" s="712">
        <f>INTERCEPT(H134:H136,F134:F136)</f>
        <v>-0.76495234176781179</v>
      </c>
      <c r="Q162" s="712">
        <f>SLOPE(H137:H139,F137:F139)</f>
        <v>0.14610357623723358</v>
      </c>
      <c r="R162" s="712">
        <f>INTERCEPT(H137:H139,F137:F139)</f>
        <v>-8.5658927457226355</v>
      </c>
      <c r="S162" s="712">
        <f>SLOPE(H140:H142,F140:F142)</f>
        <v>1.1102903418968183E-3</v>
      </c>
      <c r="T162" s="819">
        <f>INTERCEPT(H140:H142,F140:F142)</f>
        <v>-1.6983583226282657</v>
      </c>
    </row>
    <row r="163" spans="7:20" ht="50.1" customHeight="1" x14ac:dyDescent="0.2">
      <c r="G163" s="815" t="str">
        <f>O145</f>
        <v>M-011</v>
      </c>
      <c r="H163" s="720" t="str">
        <f>D144</f>
        <v>Lufft Opus 20</v>
      </c>
      <c r="I163" s="820" t="str">
        <f>E144</f>
        <v>0,22.0714.0802.024</v>
      </c>
      <c r="J163" s="796" t="str">
        <f>S144</f>
        <v>14/05/2019 -/  15/05/2019 -   15/05/2019</v>
      </c>
      <c r="K163" s="719" t="str">
        <f>T144</f>
        <v>INM-39864-INM 3988-INM 2315</v>
      </c>
      <c r="L163" s="817">
        <f>P145</f>
        <v>0.3</v>
      </c>
      <c r="M163" s="817">
        <f t="shared" ref="M163:N163" si="11">Q145</f>
        <v>1.7</v>
      </c>
      <c r="N163" s="818">
        <f t="shared" si="11"/>
        <v>0.11</v>
      </c>
      <c r="O163" s="712">
        <f>SLOPE(H144:H146,F144:F146)</f>
        <v>1.3789480596230877E-2</v>
      </c>
      <c r="P163" s="712">
        <f>INTERCEPT(H144:H146,F144:F146)</f>
        <v>-0.31945630047934864</v>
      </c>
      <c r="Q163" s="712">
        <f>SLOPE(H147:H149,F147:F149)</f>
        <v>0.15265797836413364</v>
      </c>
      <c r="R163" s="712">
        <f>INTERCEPT(H147:H149,F147:F149)</f>
        <v>-8.8239788291829537</v>
      </c>
      <c r="S163" s="712">
        <f>SLOPE(H150:H152,F150:F152)</f>
        <v>2.5813149339457058E-3</v>
      </c>
      <c r="T163" s="819">
        <f>INTERCEPT(H150:H152,F150:F152)</f>
        <v>-2.8012761658278418</v>
      </c>
    </row>
    <row r="164" spans="7:20" ht="50.1" customHeight="1" x14ac:dyDescent="0.2">
      <c r="G164" s="815" t="str">
        <f>O114</f>
        <v xml:space="preserve">M-012  </v>
      </c>
      <c r="H164" s="720" t="str">
        <f>D113</f>
        <v>Lufft Opus 20</v>
      </c>
      <c r="I164" s="816">
        <f>E113</f>
        <v>19506160802033</v>
      </c>
      <c r="J164" s="796" t="str">
        <f>S113</f>
        <v>21/05/2019 /- 23/05/2019 -/  02/05/2019</v>
      </c>
      <c r="K164" s="719" t="str">
        <f>T113</f>
        <v>INM-3997, INM 4005 - INM 2316</v>
      </c>
      <c r="L164" s="720">
        <f>P114</f>
        <v>0.4</v>
      </c>
      <c r="M164" s="720">
        <f t="shared" ref="M164:N164" si="12">Q114</f>
        <v>1.7</v>
      </c>
      <c r="N164" s="720">
        <f t="shared" si="12"/>
        <v>0.56999999999999995</v>
      </c>
      <c r="O164" s="712">
        <f>SLOPE(H113:H115,F113:F115)</f>
        <v>2.7153152443586816E-2</v>
      </c>
      <c r="P164" s="712">
        <f>INTERCEPT(H113:H115,F113:F115)</f>
        <v>-0.60311109360847481</v>
      </c>
      <c r="Q164" s="712">
        <f>SLOPE(H116:H118,F116:F118)</f>
        <v>0.12702668198646755</v>
      </c>
      <c r="R164" s="712">
        <f>INTERCEPT(H116:H118,F116:F118)</f>
        <v>-6.9481807736499448</v>
      </c>
      <c r="S164" s="712">
        <f>SLOPE(H119:H121,F119:F121)</f>
        <v>1.9899325989336312E-3</v>
      </c>
      <c r="T164" s="819">
        <f>INTERCEPT(H119:H121,F119:F121)</f>
        <v>-2.4093630913706812</v>
      </c>
    </row>
    <row r="165" spans="7:20" ht="50.1" customHeight="1" thickBot="1" x14ac:dyDescent="0.25">
      <c r="G165" s="821" t="str">
        <f>O125</f>
        <v xml:space="preserve">M-013  </v>
      </c>
      <c r="H165" s="822" t="str">
        <f>D124</f>
        <v>Lufft Opus 20</v>
      </c>
      <c r="I165" s="823">
        <f>E124</f>
        <v>19406160802033</v>
      </c>
      <c r="J165" s="797" t="str">
        <f>S124</f>
        <v>2019-09-24 - / 2019-09-25 -    2019-08-25</v>
      </c>
      <c r="K165" s="824" t="str">
        <f>T124</f>
        <v>INM 4216 - INM 4217 -  INM 2346</v>
      </c>
      <c r="L165" s="822">
        <f>P125</f>
        <v>0.3</v>
      </c>
      <c r="M165" s="822">
        <f t="shared" ref="M165:N165" si="13">Q125</f>
        <v>1.7</v>
      </c>
      <c r="N165" s="822">
        <f t="shared" si="13"/>
        <v>0.28999999999999998</v>
      </c>
      <c r="O165" s="825">
        <f>SLOPE(H124:H126,F124:F126)</f>
        <v>1.3499905595065769E-2</v>
      </c>
      <c r="P165" s="825">
        <f>INTERCEPT(H124:H126,F124:F126)</f>
        <v>-0.31364780665869468</v>
      </c>
      <c r="Q165" s="825">
        <f>SLOPE(H127:H129,F127:F129)</f>
        <v>0.101903287496585</v>
      </c>
      <c r="R165" s="825">
        <f>INTERCEPT(H127:H129,F127:F129)</f>
        <v>-5.6461160185775423</v>
      </c>
      <c r="S165" s="825">
        <f>SLOPE(H130:H132,F130:F132)</f>
        <v>1.1125130090065254E-3</v>
      </c>
      <c r="T165" s="826">
        <f>INTERCEPT(H130:H132,F130:F132)</f>
        <v>-1.8509982843560584</v>
      </c>
    </row>
    <row r="199" spans="64:67" ht="35.1" customHeight="1" x14ac:dyDescent="0.25">
      <c r="BL199" s="138"/>
      <c r="BM199" s="138"/>
      <c r="BN199" s="138"/>
      <c r="BO199" s="138"/>
    </row>
    <row r="200" spans="64:67" ht="35.1" customHeight="1" x14ac:dyDescent="0.25">
      <c r="BL200" s="138"/>
      <c r="BM200" s="138"/>
      <c r="BN200" s="138"/>
      <c r="BO200" s="138"/>
    </row>
    <row r="201" spans="64:67" ht="35.1" customHeight="1" x14ac:dyDescent="0.25">
      <c r="BL201" s="138"/>
      <c r="BM201" s="138"/>
      <c r="BN201" s="138"/>
      <c r="BO201" s="138"/>
    </row>
    <row r="202" spans="64:67" ht="35.1" customHeight="1" x14ac:dyDescent="0.25">
      <c r="BL202" s="138"/>
      <c r="BM202" s="138"/>
      <c r="BN202" s="138"/>
      <c r="BO202" s="138"/>
    </row>
  </sheetData>
  <sheetProtection algorithmName="SHA-512" hashValue="q6oVCktdaVc6scaTvLvmeOciJ9Zc9EIyiW7fXDCk3Kgnrk6SpxEsUKpLPZzOQBCO35lU9MFYQFUvbPlo0DtHmg==" saltValue="c2dx5wrmYRiyKgyI33xHAA==" spinCount="100000" sheet="1" objects="1" scenarios="1"/>
  <mergeCells count="162">
    <mergeCell ref="A154:F154"/>
    <mergeCell ref="B157:C157"/>
    <mergeCell ref="D157:E157"/>
    <mergeCell ref="B158:C158"/>
    <mergeCell ref="D158:E158"/>
    <mergeCell ref="B159:C159"/>
    <mergeCell ref="D159:E159"/>
    <mergeCell ref="B155:F155"/>
    <mergeCell ref="B156:C156"/>
    <mergeCell ref="D156:E156"/>
    <mergeCell ref="M5:M6"/>
    <mergeCell ref="N5:N6"/>
    <mergeCell ref="C3:N4"/>
    <mergeCell ref="B28:B32"/>
    <mergeCell ref="R25:R26"/>
    <mergeCell ref="C23:R24"/>
    <mergeCell ref="B73:B88"/>
    <mergeCell ref="B55:B70"/>
    <mergeCell ref="B38:B54"/>
    <mergeCell ref="Q25:Q26"/>
    <mergeCell ref="O25:O26"/>
    <mergeCell ref="C25:C26"/>
    <mergeCell ref="D25:D26"/>
    <mergeCell ref="E25:E26"/>
    <mergeCell ref="F25:F26"/>
    <mergeCell ref="G25:G26"/>
    <mergeCell ref="H25:H26"/>
    <mergeCell ref="I25:I26"/>
    <mergeCell ref="J25:J26"/>
    <mergeCell ref="M25:M26"/>
    <mergeCell ref="N25:N26"/>
    <mergeCell ref="K25:K26"/>
    <mergeCell ref="L25:L26"/>
    <mergeCell ref="P25:P26"/>
    <mergeCell ref="C5:C6"/>
    <mergeCell ref="D5:D6"/>
    <mergeCell ref="E5:E6"/>
    <mergeCell ref="F5:F6"/>
    <mergeCell ref="G5:G6"/>
    <mergeCell ref="H5:H6"/>
    <mergeCell ref="I5:I6"/>
    <mergeCell ref="J5:J6"/>
    <mergeCell ref="K5:K6"/>
    <mergeCell ref="C12:L13"/>
    <mergeCell ref="C14:C15"/>
    <mergeCell ref="D14:D15"/>
    <mergeCell ref="E14:E15"/>
    <mergeCell ref="F14:F15"/>
    <mergeCell ref="H14:H15"/>
    <mergeCell ref="I14:I15"/>
    <mergeCell ref="J14:J15"/>
    <mergeCell ref="K14:K15"/>
    <mergeCell ref="L14:L15"/>
    <mergeCell ref="G14:G15"/>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 ref="L102:L104"/>
    <mergeCell ref="L105:L107"/>
    <mergeCell ref="L108:L110"/>
    <mergeCell ref="K102:K104"/>
    <mergeCell ref="S99:S100"/>
    <mergeCell ref="T99:T100"/>
    <mergeCell ref="J102:J104"/>
    <mergeCell ref="J105:J107"/>
    <mergeCell ref="A105:B107"/>
    <mergeCell ref="K105:K107"/>
    <mergeCell ref="K108:K110"/>
    <mergeCell ref="A102:B104"/>
    <mergeCell ref="J99:J100"/>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s>
  <pageMargins left="0.7" right="0.7" top="0.75" bottom="0.75" header="0.3" footer="0.3"/>
  <pageSetup scale="10" orientation="landscape" horizontalDpi="4294967293" r:id="rId1"/>
  <rowBreaks count="2" manualBreakCount="2">
    <brk id="89" max="16383" man="1"/>
    <brk id="112" max="19" man="1"/>
  </rowBreaks>
  <ignoredErrors>
    <ignoredError sqref="P103:R103 P125:Q125 P135:R135 P145:R145 O161:O165 P161:P165 Q161:Q165 R161:R165 S161:S165 T161:T16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144"/>
  <sheetViews>
    <sheetView showGridLines="0" view="pageBreakPreview" zoomScale="80" zoomScaleNormal="80" zoomScaleSheetLayoutView="80" workbookViewId="0">
      <selection activeCell="D10" sqref="D10"/>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6.7109375" style="1" customWidth="1"/>
    <col min="13" max="16384" width="15.7109375" style="1"/>
  </cols>
  <sheetData>
    <row r="1" spans="1:20" ht="35.1" customHeight="1" x14ac:dyDescent="0.2">
      <c r="A1" s="1196"/>
      <c r="B1" s="1197"/>
      <c r="C1" s="1024" t="s">
        <v>278</v>
      </c>
      <c r="D1" s="1025"/>
      <c r="E1" s="1025"/>
      <c r="F1" s="1025"/>
      <c r="G1" s="1025"/>
      <c r="H1" s="1025"/>
      <c r="I1" s="1025"/>
      <c r="J1" s="1025"/>
      <c r="K1" s="1025"/>
      <c r="L1" s="1025"/>
      <c r="M1" s="1025"/>
      <c r="N1" s="1025"/>
      <c r="O1" s="1025"/>
      <c r="P1" s="1026"/>
    </row>
    <row r="2" spans="1:20" ht="35.1" customHeight="1" x14ac:dyDescent="0.2">
      <c r="A2" s="1198"/>
      <c r="B2" s="1199"/>
      <c r="C2" s="1027"/>
      <c r="D2" s="1028"/>
      <c r="E2" s="1028"/>
      <c r="F2" s="1028"/>
      <c r="G2" s="1028"/>
      <c r="H2" s="1028"/>
      <c r="I2" s="1028"/>
      <c r="J2" s="1028"/>
      <c r="K2" s="1028"/>
      <c r="L2" s="1028"/>
      <c r="M2" s="1028"/>
      <c r="N2" s="1028"/>
      <c r="O2" s="1028"/>
      <c r="P2" s="1029"/>
    </row>
    <row r="3" spans="1:20" ht="35.1" customHeight="1" thickBot="1" x14ac:dyDescent="0.25">
      <c r="A3" s="1200"/>
      <c r="B3" s="1201"/>
      <c r="C3" s="1030"/>
      <c r="D3" s="1031"/>
      <c r="E3" s="1031"/>
      <c r="F3" s="1031"/>
      <c r="G3" s="1031"/>
      <c r="H3" s="1031"/>
      <c r="I3" s="1031"/>
      <c r="J3" s="1031"/>
      <c r="K3" s="1031"/>
      <c r="L3" s="1031"/>
      <c r="M3" s="1031"/>
      <c r="N3" s="1031"/>
      <c r="O3" s="1031"/>
      <c r="P3" s="1032"/>
    </row>
    <row r="4" spans="1:20" s="5" customFormat="1" ht="15" customHeight="1" thickBot="1" x14ac:dyDescent="0.25">
      <c r="A4" s="2"/>
      <c r="B4" s="2"/>
      <c r="C4" s="2"/>
      <c r="D4" s="2"/>
      <c r="E4" s="2"/>
      <c r="F4" s="2"/>
      <c r="G4" s="2"/>
      <c r="H4" s="2"/>
      <c r="I4" s="2"/>
      <c r="J4" s="2"/>
      <c r="K4" s="3"/>
      <c r="L4" s="4"/>
    </row>
    <row r="5" spans="1:20" ht="44.25" customHeight="1" thickBot="1" x14ac:dyDescent="0.25">
      <c r="B5" s="64" t="s">
        <v>7</v>
      </c>
      <c r="C5" s="65" t="s">
        <v>133</v>
      </c>
      <c r="D5" s="65" t="s">
        <v>239</v>
      </c>
      <c r="E5" s="65" t="s">
        <v>134</v>
      </c>
      <c r="F5" s="65" t="s">
        <v>79</v>
      </c>
      <c r="G5" s="66" t="s">
        <v>8</v>
      </c>
      <c r="H5" s="66" t="s">
        <v>73</v>
      </c>
      <c r="I5" s="67" t="s">
        <v>135</v>
      </c>
      <c r="J5" s="1194"/>
      <c r="L5" s="7"/>
    </row>
    <row r="6" spans="1:20" ht="60" customHeight="1" thickBot="1" x14ac:dyDescent="0.25">
      <c r="A6" s="8"/>
      <c r="B6" s="61" t="e">
        <f>VLOOKUP($J$5,'DATOS ° '!$C$7:$K$22,2,FALSE)</f>
        <v>#N/A</v>
      </c>
      <c r="C6" s="71" t="e">
        <f>VLOOKUP($J$5,'DATOS ° '!$C$7:$K$22,3,FALSE)</f>
        <v>#N/A</v>
      </c>
      <c r="D6" s="61" t="e">
        <f>VLOOKUP($J$5,'DATOS ° '!$C$7:$K$22,8,FALSE)</f>
        <v>#N/A</v>
      </c>
      <c r="E6" s="61" t="e">
        <f>VLOOKUP($J$5,'DATOS ° '!$C$7:$K$22,6,FALSE)</f>
        <v>#N/A</v>
      </c>
      <c r="F6" s="71" t="e">
        <f>VLOOKUP($J$5,'DATOS ° '!$C$7:$K$22,7,FALSE)</f>
        <v>#N/A</v>
      </c>
      <c r="G6" s="61" t="e">
        <f>VLOOKUP($J$5,'DATOS ° '!$C$7:$K$22,4,FALSE)</f>
        <v>#N/A</v>
      </c>
      <c r="H6" s="61" t="e">
        <f>VLOOKUP($J$5,'DATOS ° '!$C$7:$K$22,5,FALSE)</f>
        <v>#N/A</v>
      </c>
      <c r="I6" s="61" t="e">
        <f>VLOOKUP($J$5,'DATOS ° '!$C$7:$K$22,9,FALSE)</f>
        <v>#N/A</v>
      </c>
      <c r="J6" s="1195"/>
      <c r="L6" s="7"/>
    </row>
    <row r="7" spans="1:20" ht="9.9499999999999993" customHeight="1" thickBot="1" x14ac:dyDescent="0.25">
      <c r="B7" s="9"/>
      <c r="C7" s="10"/>
      <c r="D7" s="11"/>
      <c r="E7" s="10"/>
      <c r="F7" s="9"/>
      <c r="G7" s="12"/>
      <c r="H7" s="13"/>
      <c r="I7" s="9"/>
      <c r="J7" s="10"/>
      <c r="K7" s="10"/>
      <c r="L7" s="7"/>
    </row>
    <row r="8" spans="1:20" ht="35.1" customHeight="1" thickBot="1" x14ac:dyDescent="0.25">
      <c r="B8" s="1048" t="s">
        <v>10</v>
      </c>
      <c r="C8" s="1049"/>
      <c r="D8" s="1049"/>
      <c r="E8" s="1050"/>
      <c r="F8" s="150"/>
      <c r="G8" s="14"/>
      <c r="H8" s="14"/>
      <c r="I8" s="14"/>
      <c r="J8" s="14"/>
      <c r="K8" s="14"/>
      <c r="L8" s="498"/>
    </row>
    <row r="9" spans="1:20" ht="35.1" customHeight="1" thickBot="1" x14ac:dyDescent="0.25">
      <c r="B9" s="1210" t="s">
        <v>3</v>
      </c>
      <c r="C9" s="1211"/>
      <c r="D9" s="263" t="e">
        <f>VLOOKUP($F$8,'DATOS ° '!$C$16:$L$22,2,FALSE)</f>
        <v>#N/A</v>
      </c>
      <c r="E9" s="264"/>
      <c r="F9" s="15"/>
      <c r="G9" s="1048" t="s">
        <v>227</v>
      </c>
      <c r="H9" s="1049"/>
      <c r="I9" s="1049"/>
      <c r="J9" s="1050"/>
      <c r="K9" s="14"/>
      <c r="L9" s="14"/>
    </row>
    <row r="10" spans="1:20" ht="35.1" customHeight="1" thickBot="1" x14ac:dyDescent="0.25">
      <c r="B10" s="1160" t="s">
        <v>9</v>
      </c>
      <c r="C10" s="1161"/>
      <c r="D10" s="68" t="e">
        <f>VLOOKUP($F$8,'DATOS ° '!$C$16:$L$22,3,FALSE)</f>
        <v>#N/A</v>
      </c>
      <c r="E10" s="265"/>
      <c r="F10" s="15"/>
      <c r="G10" s="1208" t="s">
        <v>228</v>
      </c>
      <c r="H10" s="1209"/>
      <c r="I10" s="1206" t="e">
        <f>VLOOKUP($K$10,'DATOS ° '!$B$27:$Q$88,1,FALSE)</f>
        <v>#N/A</v>
      </c>
      <c r="J10" s="1207"/>
      <c r="K10" s="151"/>
      <c r="L10" s="14"/>
      <c r="M10" s="16"/>
      <c r="N10" s="16"/>
      <c r="O10" s="16"/>
      <c r="P10" s="16"/>
    </row>
    <row r="11" spans="1:20" ht="35.1" customHeight="1" x14ac:dyDescent="0.2">
      <c r="B11" s="1160" t="s">
        <v>1</v>
      </c>
      <c r="C11" s="1161"/>
      <c r="D11" s="70" t="e">
        <f>VLOOKUP($F$8,'DATOS ° '!$C$16:$L$22,4,FALSE)</f>
        <v>#N/A</v>
      </c>
      <c r="E11" s="366"/>
      <c r="F11" s="15"/>
      <c r="G11" s="1160" t="s">
        <v>3</v>
      </c>
      <c r="H11" s="1161"/>
      <c r="I11" s="1212" t="e">
        <f>VLOOKUP($K$10,'DATOS ° '!$B$27:$R$88,4,FALSE)</f>
        <v>#N/A</v>
      </c>
      <c r="J11" s="1213"/>
      <c r="K11" s="14"/>
      <c r="L11" s="14"/>
      <c r="P11" s="16"/>
    </row>
    <row r="12" spans="1:20" s="16" customFormat="1" ht="35.1" customHeight="1" x14ac:dyDescent="0.2">
      <c r="B12" s="1160" t="s">
        <v>249</v>
      </c>
      <c r="C12" s="1205"/>
      <c r="D12" s="70" t="e">
        <f>VLOOKUP($F$8,'DATOS ° '!$C$16:$L$22,5,FALSE)</f>
        <v>#N/A</v>
      </c>
      <c r="E12" s="265"/>
      <c r="F12" s="17"/>
      <c r="G12" s="1223" t="s">
        <v>0</v>
      </c>
      <c r="H12" s="1224"/>
      <c r="I12" s="1212" t="e">
        <f>VLOOKUP($K$10,'DATOS ° '!$B$27:$R$88,3,FALSE)</f>
        <v>#N/A</v>
      </c>
      <c r="J12" s="1213"/>
      <c r="K12" s="10"/>
      <c r="L12" s="18"/>
      <c r="Q12" s="1"/>
      <c r="R12" s="1"/>
      <c r="S12" s="1"/>
      <c r="T12" s="1"/>
    </row>
    <row r="13" spans="1:20" s="16" customFormat="1" ht="35.1" customHeight="1" x14ac:dyDescent="0.2">
      <c r="B13" s="1158" t="s">
        <v>47</v>
      </c>
      <c r="C13" s="1159"/>
      <c r="D13" s="70" t="e">
        <f>VLOOKUP($F$8,'DATOS ° '!$C$16:$L$22,6,FALSE)</f>
        <v>#N/A</v>
      </c>
      <c r="E13" s="265"/>
      <c r="F13" s="17"/>
      <c r="G13" s="1160" t="s">
        <v>2</v>
      </c>
      <c r="H13" s="1161"/>
      <c r="I13" s="1212" t="e">
        <f>VLOOKUP($K$10,'DATOS ° '!$B$27:$R$88,7,FALSE)</f>
        <v>#N/A</v>
      </c>
      <c r="J13" s="1213"/>
      <c r="K13" s="10"/>
      <c r="L13" s="18"/>
    </row>
    <row r="14" spans="1:20" s="16" customFormat="1" ht="35.1" customHeight="1" x14ac:dyDescent="0.2">
      <c r="B14" s="1162" t="s">
        <v>240</v>
      </c>
      <c r="C14" s="1163"/>
      <c r="D14" s="69" t="e">
        <f>VLOOKUP($F$8,'DATOS ° '!$C$16:$L$22,7,FALSE)</f>
        <v>#N/A</v>
      </c>
      <c r="E14" s="265"/>
      <c r="F14" s="17"/>
      <c r="G14" s="1160" t="s">
        <v>216</v>
      </c>
      <c r="H14" s="1161"/>
      <c r="I14" s="1214" t="e">
        <f>VLOOKUP($K$10,'DATOS ° '!$B$27:$R$88,8,FALSE)</f>
        <v>#N/A</v>
      </c>
      <c r="J14" s="1215"/>
      <c r="K14" s="10"/>
      <c r="L14" s="18"/>
    </row>
    <row r="15" spans="1:20" s="16" customFormat="1" ht="35.1" customHeight="1" thickBot="1" x14ac:dyDescent="0.25">
      <c r="B15" s="1118" t="s">
        <v>241</v>
      </c>
      <c r="C15" s="1119"/>
      <c r="D15" s="266" t="e">
        <f>VLOOKUP($F$8,'DATOS ° '!$C$16:$L$22,8,FALSE)</f>
        <v>#N/A</v>
      </c>
      <c r="E15" s="267"/>
      <c r="F15" s="17"/>
      <c r="G15" s="1120" t="s">
        <v>110</v>
      </c>
      <c r="H15" s="1121"/>
      <c r="I15" s="1122" t="e">
        <f>VLOOKUP($K$10,'DATOS ° '!$B$27:$R$88,17,FALSE)</f>
        <v>#N/A</v>
      </c>
      <c r="J15" s="1123"/>
      <c r="K15" s="10"/>
      <c r="L15" s="10"/>
    </row>
    <row r="16" spans="1:20" s="16" customFormat="1" ht="9.9499999999999993" customHeight="1" thickBot="1" x14ac:dyDescent="0.3">
      <c r="B16" s="19"/>
      <c r="C16" s="19"/>
      <c r="D16" s="19"/>
      <c r="E16" s="19"/>
      <c r="F16" s="19"/>
      <c r="G16" s="20"/>
      <c r="H16" s="20"/>
      <c r="I16" s="21"/>
      <c r="J16" s="19"/>
      <c r="K16" s="10"/>
      <c r="L16" s="10"/>
    </row>
    <row r="17" spans="1:12" s="16" customFormat="1" ht="35.1" customHeight="1" thickBot="1" x14ac:dyDescent="0.3">
      <c r="B17" s="1080" t="s">
        <v>11</v>
      </c>
      <c r="C17" s="1081"/>
      <c r="D17" s="1049"/>
      <c r="E17" s="1049"/>
      <c r="F17" s="1049"/>
      <c r="G17" s="1049"/>
      <c r="H17" s="1049"/>
      <c r="I17" s="1049"/>
      <c r="J17" s="1050"/>
      <c r="K17" s="10"/>
      <c r="L17" s="10"/>
    </row>
    <row r="18" spans="1:12" s="16" customFormat="1" ht="35.1" customHeight="1" thickBot="1" x14ac:dyDescent="0.3">
      <c r="B18" s="1147" t="s">
        <v>94</v>
      </c>
      <c r="C18" s="1148"/>
      <c r="D18" s="1139"/>
      <c r="E18" s="252"/>
      <c r="F18" s="1141"/>
      <c r="G18" s="1128" t="s">
        <v>242</v>
      </c>
      <c r="H18" s="1129"/>
      <c r="I18" s="1129"/>
      <c r="J18" s="1130"/>
      <c r="K18" s="10"/>
      <c r="L18" s="10"/>
    </row>
    <row r="19" spans="1:12" s="16" customFormat="1" ht="35.1" customHeight="1" thickBot="1" x14ac:dyDescent="0.3">
      <c r="B19" s="1149"/>
      <c r="C19" s="1150"/>
      <c r="D19" s="1140"/>
      <c r="E19" s="253"/>
      <c r="F19" s="1142"/>
      <c r="G19" s="1131" t="s">
        <v>95</v>
      </c>
      <c r="H19" s="1124" t="s">
        <v>116</v>
      </c>
      <c r="I19" s="1124" t="s">
        <v>13</v>
      </c>
      <c r="J19" s="1126" t="s">
        <v>243</v>
      </c>
      <c r="K19" s="10"/>
      <c r="L19" s="10"/>
    </row>
    <row r="20" spans="1:12" s="16" customFormat="1" ht="35.1" customHeight="1" thickBot="1" x14ac:dyDescent="0.3">
      <c r="B20" s="1151"/>
      <c r="C20" s="1152"/>
      <c r="D20" s="1135"/>
      <c r="E20" s="1136"/>
      <c r="F20" s="1136"/>
      <c r="G20" s="1132"/>
      <c r="H20" s="1125"/>
      <c r="I20" s="1125"/>
      <c r="J20" s="1127"/>
      <c r="K20" s="10"/>
      <c r="L20" s="10"/>
    </row>
    <row r="21" spans="1:12" s="16" customFormat="1" ht="35.1" customHeight="1" thickBot="1" x14ac:dyDescent="0.3">
      <c r="B21" s="1147" t="s">
        <v>12</v>
      </c>
      <c r="C21" s="1148"/>
      <c r="D21" s="1137"/>
      <c r="E21" s="1138"/>
      <c r="F21" s="1138"/>
      <c r="G21" s="258" t="e">
        <f>VLOOKUP($K$21,'DATOS ° '!$C$27:$R$88,8,FALSE)</f>
        <v>#N/A</v>
      </c>
      <c r="H21" s="763" t="e">
        <f>VLOOKUP($K$21,'DATOS ° '!$C$27:$R$88,12,FALSE)</f>
        <v>#N/A</v>
      </c>
      <c r="I21" s="254" t="e">
        <f>VLOOKUP($K$21,'DATOS ° '!$C$27:$R$88,13,FALSE)</f>
        <v>#N/A</v>
      </c>
      <c r="J21" s="259" t="e">
        <f>VLOOKUP($K$21,'DATOS ° '!$C$27:$R$88,5,FALSE)</f>
        <v>#N/A</v>
      </c>
      <c r="K21" s="256"/>
      <c r="L21" s="10"/>
    </row>
    <row r="22" spans="1:12" s="16" customFormat="1" ht="35.1" customHeight="1" thickBot="1" x14ac:dyDescent="0.3">
      <c r="B22" s="1149"/>
      <c r="C22" s="1150"/>
      <c r="D22" s="152"/>
      <c r="E22" s="152"/>
      <c r="F22" s="255"/>
      <c r="G22" s="258" t="e">
        <f>VLOOKUP($K$22,'DATOS ° '!$C$27:$R$88,8,FALSE)</f>
        <v>#N/A</v>
      </c>
      <c r="H22" s="762" t="e">
        <f>VLOOKUP($K$22,'DATOS ° '!$C$27:$R$88,12,FALSE)</f>
        <v>#N/A</v>
      </c>
      <c r="I22" s="63" t="e">
        <f>VLOOKUP($K$22,'DATOS ° '!$C$27:$R$88,13,FALSE)</f>
        <v>#N/A</v>
      </c>
      <c r="J22" s="261" t="e">
        <f>VLOOKUP($K$22,'DATOS ° '!$C$27:$R$88,5,FALSE)</f>
        <v>#N/A</v>
      </c>
      <c r="K22" s="256"/>
      <c r="L22" s="10"/>
    </row>
    <row r="23" spans="1:12" s="16" customFormat="1" ht="35.1" customHeight="1" thickBot="1" x14ac:dyDescent="0.3">
      <c r="A23" s="19"/>
      <c r="B23" s="1151"/>
      <c r="C23" s="1152"/>
      <c r="D23" s="1143"/>
      <c r="E23" s="1144"/>
      <c r="F23" s="1144"/>
      <c r="G23" s="260" t="e">
        <f>VLOOKUP($K$23,'DATOS ° '!$C$27:$R$88,8,FALSE)</f>
        <v>#N/A</v>
      </c>
      <c r="H23" s="762" t="e">
        <f>VLOOKUP($K$23,'DATOS ° '!$C$27:$R$88,12,FALSE)</f>
        <v>#N/A</v>
      </c>
      <c r="I23" s="360" t="e">
        <f>VLOOKUP($K$23,'DATOS ° '!$C$27:$R$88,13,FALSE)</f>
        <v>#N/A</v>
      </c>
      <c r="J23" s="261" t="e">
        <f>VLOOKUP($K$23,'DATOS ° '!$C$27:$R$88,5,FALSE)</f>
        <v>#N/A</v>
      </c>
      <c r="K23" s="761"/>
      <c r="L23" s="10"/>
    </row>
    <row r="24" spans="1:12" s="16" customFormat="1" ht="35.1" customHeight="1" thickBot="1" x14ac:dyDescent="0.3">
      <c r="A24" s="19"/>
      <c r="C24" s="1145" t="s">
        <v>277</v>
      </c>
      <c r="D24" s="1146"/>
      <c r="E24" s="268"/>
      <c r="G24" s="260" t="e">
        <f>VLOOKUP($K$24,'DATOS ° '!$C$27:$R$88,8,FALSE)</f>
        <v>#N/A</v>
      </c>
      <c r="H24" s="762" t="e">
        <f>VLOOKUP($K$24,'DATOS ° '!$C$27:$R$88,12,FALSE)</f>
        <v>#N/A</v>
      </c>
      <c r="I24" s="360" t="e">
        <f>VLOOKUP($K$24,'DATOS ° '!$C$27:$R$88,13,FALSE)</f>
        <v>#N/A</v>
      </c>
      <c r="J24" s="261" t="e">
        <f>VLOOKUP($K$24,'DATOS ° '!$C$27:$R$88,5,FALSE)</f>
        <v>#N/A</v>
      </c>
      <c r="K24" s="256"/>
      <c r="L24" s="10"/>
    </row>
    <row r="25" spans="1:12" s="16" customFormat="1" ht="35.1" customHeight="1" thickBot="1" x14ac:dyDescent="0.3">
      <c r="A25" s="22"/>
      <c r="B25" s="187" t="s">
        <v>226</v>
      </c>
      <c r="C25" s="233" t="s">
        <v>117</v>
      </c>
      <c r="D25" s="269" t="s">
        <v>58</v>
      </c>
      <c r="E25" s="188" t="s">
        <v>137</v>
      </c>
      <c r="G25" s="262" t="e">
        <f>G22+G23+G24+B26</f>
        <v>#N/A</v>
      </c>
      <c r="H25" s="762" t="e">
        <f>H22+H23+H24+C26</f>
        <v>#N/A</v>
      </c>
      <c r="I25" s="234" t="e">
        <f>I22+I23+I24+D26</f>
        <v>#N/A</v>
      </c>
      <c r="J25" s="251" t="e">
        <f>VLOOKUP($K$24,'DATOS ° '!$C$27:$R$88,5,FALSE)</f>
        <v>#N/A</v>
      </c>
      <c r="K25" s="10"/>
    </row>
    <row r="26" spans="1:12" s="16" customFormat="1" ht="35.1" customHeight="1" thickBot="1" x14ac:dyDescent="0.3">
      <c r="A26" s="19"/>
      <c r="B26" s="262" t="e">
        <f>VLOOKUP($E$24,'DATOS ° '!$C$27:$R$88,8,FALSE)</f>
        <v>#N/A</v>
      </c>
      <c r="C26" s="249" t="e">
        <f>VLOOKUP($E$24,'DATOS ° '!$C$27:$R$88,12,FALSE)</f>
        <v>#N/A</v>
      </c>
      <c r="D26" s="249" t="e">
        <f>VLOOKUP($E$24,'DATOS ° '!$C$27:$R$88,13,FALSE)</f>
        <v>#N/A</v>
      </c>
      <c r="E26" s="251" t="e">
        <f>VLOOKUP($E$24,'DATOS ° '!$C$27:$R$88,5,FALSE)</f>
        <v>#N/A</v>
      </c>
      <c r="F26" s="23" t="s">
        <v>108</v>
      </c>
      <c r="G26" s="24">
        <f>5-2</f>
        <v>3</v>
      </c>
      <c r="H26" s="10"/>
      <c r="I26" s="257"/>
    </row>
    <row r="27" spans="1:12" s="16" customFormat="1" ht="36" customHeight="1" thickBot="1" x14ac:dyDescent="0.3">
      <c r="A27" s="19"/>
      <c r="B27" s="1216" t="s">
        <v>250</v>
      </c>
      <c r="C27" s="1217"/>
      <c r="D27" s="1217"/>
      <c r="E27" s="1217"/>
      <c r="F27" s="1217"/>
      <c r="G27" s="1217"/>
      <c r="H27" s="1217"/>
      <c r="I27" s="1217"/>
      <c r="J27" s="1217"/>
      <c r="K27" s="1218"/>
    </row>
    <row r="28" spans="1:12" ht="49.5" customHeight="1" x14ac:dyDescent="0.25">
      <c r="A28" s="19"/>
      <c r="B28" s="242" t="s">
        <v>3</v>
      </c>
      <c r="C28" s="243" t="e">
        <f>VLOOKUP($K$28,'DATOS ° '!$G$153:$T$166,2,FALSE)</f>
        <v>#N/A</v>
      </c>
      <c r="D28" s="244" t="s">
        <v>78</v>
      </c>
      <c r="E28" s="245" t="e">
        <f>VLOOKUP($K$28,'DATOS ° '!$G$153:$T$166,3,FALSE)</f>
        <v>#N/A</v>
      </c>
      <c r="F28" s="246" t="s">
        <v>2</v>
      </c>
      <c r="G28" s="1219" t="e">
        <f>VLOOKUP($K$28,'DATOS ° '!$G$153:$T$166,4,FALSE)</f>
        <v>#N/A</v>
      </c>
      <c r="H28" s="1220"/>
      <c r="I28" s="244" t="s">
        <v>251</v>
      </c>
      <c r="J28" s="247" t="e">
        <f>VLOOKUP($K$28,'DATOS ° '!$G$153:$T$166,5,FALSE)</f>
        <v>#N/A</v>
      </c>
      <c r="K28" s="1133"/>
    </row>
    <row r="29" spans="1:12" ht="35.1" customHeight="1" thickBot="1" x14ac:dyDescent="0.3">
      <c r="A29" s="19"/>
      <c r="B29" s="1221" t="s">
        <v>253</v>
      </c>
      <c r="C29" s="1222"/>
      <c r="D29" s="248" t="s">
        <v>6</v>
      </c>
      <c r="E29" s="249" t="e">
        <f>VLOOKUP($K$28,'DATOS ° '!$G$153:$T$166,6,FALSE)</f>
        <v>#N/A</v>
      </c>
      <c r="F29" s="1079" t="s">
        <v>4</v>
      </c>
      <c r="G29" s="1079"/>
      <c r="H29" s="249" t="e">
        <f>VLOOKUP($K$28,'DATOS ° '!$G$153:$T$166,7,FALSE)</f>
        <v>#N/A</v>
      </c>
      <c r="I29" s="250" t="s">
        <v>5</v>
      </c>
      <c r="J29" s="251" t="e">
        <f>VLOOKUP($K$28,'DATOS ° '!$G$153:$T$166,8,FALSE)</f>
        <v>#N/A</v>
      </c>
      <c r="K29" s="1134"/>
    </row>
    <row r="30" spans="1:12" ht="35.1" customHeight="1" thickBot="1" x14ac:dyDescent="0.3">
      <c r="A30" s="19"/>
      <c r="B30" s="1"/>
      <c r="C30" s="1"/>
      <c r="D30" s="1"/>
      <c r="E30" s="1"/>
      <c r="F30" s="1"/>
      <c r="G30" s="1"/>
      <c r="H30" s="1"/>
      <c r="I30" s="1"/>
      <c r="J30" s="1"/>
      <c r="K30" s="1"/>
    </row>
    <row r="31" spans="1:12" ht="35.1" customHeight="1" thickBot="1" x14ac:dyDescent="0.25">
      <c r="A31" s="26"/>
      <c r="B31" s="1048" t="s">
        <v>59</v>
      </c>
      <c r="C31" s="1049"/>
      <c r="D31" s="1049"/>
      <c r="E31" s="1049"/>
      <c r="F31" s="1049"/>
      <c r="G31" s="1049"/>
      <c r="H31" s="1049"/>
      <c r="I31" s="1050"/>
      <c r="K31" s="25" t="s">
        <v>111</v>
      </c>
      <c r="L31" s="10"/>
    </row>
    <row r="32" spans="1:12" ht="38.25" customHeight="1" thickBot="1" x14ac:dyDescent="0.25">
      <c r="B32" s="505" t="s">
        <v>275</v>
      </c>
      <c r="C32" s="563"/>
      <c r="D32" s="564" t="s">
        <v>6</v>
      </c>
      <c r="E32" s="565"/>
      <c r="F32" s="66" t="s">
        <v>4</v>
      </c>
      <c r="G32" s="565"/>
      <c r="H32" s="560" t="s">
        <v>5</v>
      </c>
      <c r="I32" s="566"/>
      <c r="K32" s="27" t="s">
        <v>52</v>
      </c>
      <c r="L32" s="28">
        <f>'DATOS ° '!M8</f>
        <v>2</v>
      </c>
    </row>
    <row r="33" spans="1:11" ht="35.1" customHeight="1" thickBot="1" x14ac:dyDescent="0.25">
      <c r="A33" s="6"/>
      <c r="B33" s="1153" t="s">
        <v>14</v>
      </c>
      <c r="C33" s="1154"/>
      <c r="D33" s="1154"/>
      <c r="E33" s="1154"/>
      <c r="F33" s="1154"/>
      <c r="G33" s="1155"/>
    </row>
    <row r="34" spans="1:11" ht="35.1" customHeight="1" thickBot="1" x14ac:dyDescent="0.25">
      <c r="A34" s="6"/>
      <c r="C34" s="559" t="s">
        <v>54</v>
      </c>
      <c r="D34" s="560" t="s">
        <v>53</v>
      </c>
      <c r="E34" s="561">
        <f>E19</f>
        <v>0</v>
      </c>
      <c r="F34" s="560" t="s">
        <v>46</v>
      </c>
      <c r="G34" s="562">
        <f>E34*1000</f>
        <v>0</v>
      </c>
    </row>
    <row r="35" spans="1:11" ht="35.1" customHeight="1" x14ac:dyDescent="0.2">
      <c r="A35" s="6"/>
      <c r="B35" s="504" t="s">
        <v>15</v>
      </c>
      <c r="C35" s="236">
        <v>1</v>
      </c>
      <c r="D35" s="236">
        <v>2</v>
      </c>
      <c r="E35" s="236">
        <v>3</v>
      </c>
      <c r="F35" s="236">
        <v>4</v>
      </c>
      <c r="G35" s="237">
        <v>5</v>
      </c>
    </row>
    <row r="36" spans="1:11" ht="35.1" customHeight="1" x14ac:dyDescent="0.2">
      <c r="A36" s="6"/>
      <c r="B36" s="557" t="s">
        <v>244</v>
      </c>
      <c r="C36" s="540"/>
      <c r="D36" s="540"/>
      <c r="E36" s="540"/>
      <c r="F36" s="540"/>
      <c r="G36" s="554"/>
    </row>
    <row r="37" spans="1:11" ht="35.1" customHeight="1" x14ac:dyDescent="0.2">
      <c r="A37" s="6"/>
      <c r="B37" s="557" t="s">
        <v>16</v>
      </c>
      <c r="C37" s="29">
        <f>$C$36-C36</f>
        <v>0</v>
      </c>
      <c r="D37" s="29">
        <f t="shared" ref="D37:G37" si="0">$C$36-D36</f>
        <v>0</v>
      </c>
      <c r="E37" s="29">
        <f t="shared" si="0"/>
        <v>0</v>
      </c>
      <c r="F37" s="29">
        <f>$C$36-F36</f>
        <v>0</v>
      </c>
      <c r="G37" s="238">
        <f t="shared" si="0"/>
        <v>0</v>
      </c>
    </row>
    <row r="38" spans="1:11" ht="35.1" customHeight="1" thickBot="1" x14ac:dyDescent="0.25">
      <c r="A38" s="6"/>
      <c r="B38" s="558" t="s">
        <v>45</v>
      </c>
      <c r="C38" s="240">
        <f>ABS(C37)</f>
        <v>0</v>
      </c>
      <c r="D38" s="240">
        <f t="shared" ref="D38:G38" si="1">ABS(D37)</f>
        <v>0</v>
      </c>
      <c r="E38" s="240">
        <f t="shared" si="1"/>
        <v>0</v>
      </c>
      <c r="F38" s="240">
        <f t="shared" si="1"/>
        <v>0</v>
      </c>
      <c r="G38" s="241">
        <f t="shared" si="1"/>
        <v>0</v>
      </c>
    </row>
    <row r="39" spans="1:11" ht="35.1" customHeight="1" thickBot="1" x14ac:dyDescent="0.3">
      <c r="A39" s="6"/>
      <c r="B39" s="555" t="s">
        <v>46</v>
      </c>
      <c r="C39" s="556">
        <f>MAX(C38:G38)*1000</f>
        <v>0</v>
      </c>
      <c r="D39" s="30"/>
      <c r="E39" s="30"/>
      <c r="F39" s="30"/>
      <c r="G39" s="30"/>
    </row>
    <row r="40" spans="1:11" ht="9.9499999999999993" customHeight="1" thickBot="1" x14ac:dyDescent="0.25">
      <c r="A40" s="6"/>
    </row>
    <row r="41" spans="1:11" ht="35.1" customHeight="1" thickBot="1" x14ac:dyDescent="0.25">
      <c r="B41" s="1048" t="s">
        <v>17</v>
      </c>
      <c r="C41" s="1049"/>
      <c r="D41" s="1049"/>
      <c r="E41" s="1049"/>
      <c r="F41" s="1049"/>
      <c r="G41" s="1049"/>
      <c r="H41" s="1049"/>
      <c r="I41" s="1049"/>
      <c r="J41" s="1049"/>
      <c r="K41" s="1050"/>
    </row>
    <row r="42" spans="1:11" s="31" customFormat="1" ht="35.1" customHeight="1" thickBot="1" x14ac:dyDescent="0.25">
      <c r="B42" s="1202" t="s">
        <v>20</v>
      </c>
      <c r="C42" s="1203"/>
      <c r="D42" s="1203"/>
      <c r="E42" s="1203"/>
      <c r="F42" s="1203"/>
      <c r="G42" s="1203"/>
      <c r="H42" s="1203"/>
      <c r="I42" s="1203"/>
      <c r="J42" s="1204"/>
      <c r="K42" s="346" t="s">
        <v>49</v>
      </c>
    </row>
    <row r="43" spans="1:11" ht="35.1" customHeight="1" thickBot="1" x14ac:dyDescent="0.25">
      <c r="A43" s="772" t="s">
        <v>18</v>
      </c>
      <c r="B43" s="551">
        <v>1</v>
      </c>
      <c r="C43" s="552">
        <v>2</v>
      </c>
      <c r="D43" s="552">
        <v>3</v>
      </c>
      <c r="E43" s="552">
        <v>4</v>
      </c>
      <c r="F43" s="552">
        <v>5</v>
      </c>
      <c r="G43" s="552">
        <v>6</v>
      </c>
      <c r="H43" s="552">
        <v>7</v>
      </c>
      <c r="I43" s="552">
        <v>8</v>
      </c>
      <c r="J43" s="552">
        <v>9</v>
      </c>
      <c r="K43" s="553">
        <v>10</v>
      </c>
    </row>
    <row r="44" spans="1:11" ht="35.1" customHeight="1" x14ac:dyDescent="0.2">
      <c r="A44" s="773">
        <f>D22</f>
        <v>0</v>
      </c>
      <c r="B44" s="764"/>
      <c r="C44" s="766"/>
      <c r="D44" s="766"/>
      <c r="E44" s="766"/>
      <c r="F44" s="766"/>
      <c r="G44" s="766"/>
      <c r="H44" s="766"/>
      <c r="I44" s="766"/>
      <c r="J44" s="766"/>
      <c r="K44" s="767"/>
    </row>
    <row r="45" spans="1:11" ht="35.1" customHeight="1" x14ac:dyDescent="0.2">
      <c r="A45" s="773">
        <f>E22</f>
        <v>0</v>
      </c>
      <c r="B45" s="768"/>
      <c r="C45" s="765"/>
      <c r="D45" s="765"/>
      <c r="E45" s="765"/>
      <c r="F45" s="765"/>
      <c r="G45" s="765"/>
      <c r="H45" s="765"/>
      <c r="I45" s="765"/>
      <c r="J45" s="765"/>
      <c r="K45" s="769"/>
    </row>
    <row r="46" spans="1:11" ht="35.1" customHeight="1" thickBot="1" x14ac:dyDescent="0.25">
      <c r="A46" s="774">
        <f>F22</f>
        <v>0</v>
      </c>
      <c r="B46" s="776"/>
      <c r="C46" s="777"/>
      <c r="D46" s="777"/>
      <c r="E46" s="777"/>
      <c r="F46" s="771"/>
      <c r="G46" s="771"/>
      <c r="H46" s="771"/>
      <c r="I46" s="771"/>
      <c r="J46" s="771"/>
      <c r="K46" s="775"/>
    </row>
    <row r="47" spans="1:11" ht="35.1" customHeight="1" thickBot="1" x14ac:dyDescent="0.25">
      <c r="B47" s="772" t="s">
        <v>18</v>
      </c>
      <c r="C47" s="786" t="s">
        <v>19</v>
      </c>
      <c r="D47" s="270" t="s">
        <v>62</v>
      </c>
      <c r="E47" s="787" t="s">
        <v>61</v>
      </c>
      <c r="F47" s="788" t="s">
        <v>245</v>
      </c>
      <c r="H47" s="1"/>
      <c r="J47" s="1"/>
      <c r="K47" s="32"/>
    </row>
    <row r="48" spans="1:11" ht="35.1" customHeight="1" thickBot="1" x14ac:dyDescent="0.25">
      <c r="B48" s="781">
        <f>A44</f>
        <v>0</v>
      </c>
      <c r="C48" s="783" t="e">
        <f>AVERAGE(B44:K44)</f>
        <v>#DIV/0!</v>
      </c>
      <c r="D48" s="784" t="e">
        <f>_xlfn.STDEV.S(B44:K44)</f>
        <v>#DIV/0!</v>
      </c>
      <c r="E48" s="785" t="e">
        <f>D48*1000</f>
        <v>#DIV/0!</v>
      </c>
      <c r="F48" s="789" t="e">
        <f>MAX(E48:E50)</f>
        <v>#DIV/0!</v>
      </c>
      <c r="H48" s="1"/>
      <c r="I48" s="1"/>
      <c r="J48" s="7"/>
      <c r="K48" s="1"/>
    </row>
    <row r="49" spans="1:13" ht="35.1" customHeight="1" x14ac:dyDescent="0.2">
      <c r="B49" s="781">
        <f>A45</f>
        <v>0</v>
      </c>
      <c r="C49" s="779" t="e">
        <f t="shared" ref="C49:C50" si="2">AVERAGE(B45:K45)</f>
        <v>#DIV/0!</v>
      </c>
      <c r="D49" s="360" t="e">
        <f t="shared" ref="D49:D50" si="3">_xlfn.STDEV.S(B45:K45)</f>
        <v>#DIV/0!</v>
      </c>
      <c r="E49" s="778" t="e">
        <f t="shared" ref="E49:E50" si="4">D49*1000</f>
        <v>#DIV/0!</v>
      </c>
      <c r="H49" s="1"/>
      <c r="I49" s="1"/>
      <c r="J49" s="7"/>
      <c r="K49" s="1"/>
    </row>
    <row r="50" spans="1:13" ht="35.1" customHeight="1" thickBot="1" x14ac:dyDescent="0.25">
      <c r="A50" s="6"/>
      <c r="B50" s="782">
        <f>A46</f>
        <v>0</v>
      </c>
      <c r="C50" s="780" t="e">
        <f t="shared" si="2"/>
        <v>#DIV/0!</v>
      </c>
      <c r="D50" s="234" t="e">
        <f t="shared" si="3"/>
        <v>#DIV/0!</v>
      </c>
      <c r="E50" s="235" t="e">
        <f t="shared" si="4"/>
        <v>#DIV/0!</v>
      </c>
      <c r="H50" s="1"/>
      <c r="I50" s="7"/>
      <c r="J50" s="7"/>
      <c r="K50" s="7"/>
    </row>
    <row r="51" spans="1:13" ht="29.25" customHeight="1" thickBot="1" x14ac:dyDescent="0.25">
      <c r="A51" s="6"/>
      <c r="B51" s="1"/>
      <c r="C51" s="1"/>
      <c r="D51" s="1"/>
      <c r="E51" s="1"/>
      <c r="F51" s="1"/>
      <c r="G51" s="1"/>
      <c r="H51" s="1"/>
      <c r="I51" s="7"/>
      <c r="J51" s="7"/>
      <c r="K51" s="7"/>
    </row>
    <row r="52" spans="1:13" ht="35.1" customHeight="1" thickBot="1" x14ac:dyDescent="0.25">
      <c r="A52" s="6"/>
      <c r="B52" s="1048" t="s">
        <v>23</v>
      </c>
      <c r="C52" s="1049"/>
      <c r="D52" s="1049"/>
      <c r="E52" s="1049"/>
      <c r="F52" s="1049"/>
      <c r="G52" s="1049"/>
      <c r="H52" s="1049"/>
      <c r="I52" s="1049"/>
      <c r="J52" s="1049"/>
      <c r="K52" s="1049"/>
      <c r="L52" s="1050"/>
    </row>
    <row r="53" spans="1:13" ht="35.1" customHeight="1" thickBot="1" x14ac:dyDescent="0.25">
      <c r="B53" s="1048" t="s">
        <v>102</v>
      </c>
      <c r="C53" s="1049"/>
      <c r="D53" s="1049"/>
      <c r="E53" s="1050"/>
      <c r="F53" s="34"/>
      <c r="G53" s="1048" t="s">
        <v>310</v>
      </c>
      <c r="H53" s="1049"/>
      <c r="I53" s="1049"/>
      <c r="J53" s="1049"/>
      <c r="K53" s="1049"/>
      <c r="L53" s="1050"/>
    </row>
    <row r="54" spans="1:13" ht="46.5" customHeight="1" thickBot="1" x14ac:dyDescent="0.25">
      <c r="A54" s="6"/>
      <c r="B54" s="567" t="s">
        <v>327</v>
      </c>
      <c r="C54" s="273" t="s">
        <v>130</v>
      </c>
      <c r="D54" s="271" t="s">
        <v>35</v>
      </c>
      <c r="E54" s="272" t="s">
        <v>35</v>
      </c>
      <c r="F54" s="34"/>
      <c r="G54" s="791" t="s">
        <v>130</v>
      </c>
      <c r="H54" s="792" t="s">
        <v>246</v>
      </c>
      <c r="I54" s="792"/>
      <c r="J54" s="792"/>
      <c r="K54" s="793" t="s">
        <v>35</v>
      </c>
      <c r="L54" s="794" t="s">
        <v>35</v>
      </c>
    </row>
    <row r="55" spans="1:13" ht="35.1" customHeight="1" x14ac:dyDescent="0.2">
      <c r="A55" s="6"/>
      <c r="B55" s="542" t="e">
        <f>H21</f>
        <v>#N/A</v>
      </c>
      <c r="C55" s="545"/>
      <c r="D55" s="543" t="e">
        <f>C55-B55</f>
        <v>#N/A</v>
      </c>
      <c r="E55" s="544" t="e">
        <f>D55*1000</f>
        <v>#N/A</v>
      </c>
      <c r="F55" s="34"/>
      <c r="G55" s="545"/>
      <c r="H55" s="546"/>
      <c r="I55" s="331" t="e">
        <f>AVERAGE(G55:H55)</f>
        <v>#DIV/0!</v>
      </c>
      <c r="J55" s="547" t="e">
        <f>I55*1000</f>
        <v>#DIV/0!</v>
      </c>
      <c r="K55" s="543" t="e">
        <f>I55-B55</f>
        <v>#DIV/0!</v>
      </c>
      <c r="L55" s="548" t="e">
        <f>K55*1000</f>
        <v>#DIV/0!</v>
      </c>
    </row>
    <row r="56" spans="1:13" ht="35.1" customHeight="1" x14ac:dyDescent="0.2">
      <c r="A56" s="6"/>
      <c r="B56" s="274" t="e">
        <f>H22</f>
        <v>#N/A</v>
      </c>
      <c r="C56" s="768"/>
      <c r="D56" s="35" t="e">
        <f t="shared" ref="D56:D59" si="5">C56-B56</f>
        <v>#N/A</v>
      </c>
      <c r="E56" s="231" t="e">
        <f t="shared" ref="E56:E59" si="6">D56*1000</f>
        <v>#N/A</v>
      </c>
      <c r="F56" s="34"/>
      <c r="G56" s="768"/>
      <c r="H56" s="765"/>
      <c r="I56" s="503" t="e">
        <f>AVERAGE(G56:H56)</f>
        <v>#DIV/0!</v>
      </c>
      <c r="J56" s="541" t="e">
        <f>I56*1000</f>
        <v>#DIV/0!</v>
      </c>
      <c r="K56" s="35" t="e">
        <f>I56-B56</f>
        <v>#DIV/0!</v>
      </c>
      <c r="L56" s="225" t="e">
        <f t="shared" ref="L56:L59" si="7">K56*1000</f>
        <v>#DIV/0!</v>
      </c>
    </row>
    <row r="57" spans="1:13" ht="35.1" customHeight="1" x14ac:dyDescent="0.2">
      <c r="A57" s="6"/>
      <c r="B57" s="274" t="e">
        <f>H23</f>
        <v>#N/A</v>
      </c>
      <c r="C57" s="790"/>
      <c r="D57" s="35" t="e">
        <f t="shared" si="5"/>
        <v>#N/A</v>
      </c>
      <c r="E57" s="231" t="e">
        <f t="shared" si="6"/>
        <v>#N/A</v>
      </c>
      <c r="F57" s="34"/>
      <c r="G57" s="768"/>
      <c r="H57" s="765"/>
      <c r="I57" s="503" t="e">
        <f>AVERAGE(G57:H57)</f>
        <v>#DIV/0!</v>
      </c>
      <c r="J57" s="541" t="e">
        <f t="shared" ref="J57:J59" si="8">I57*1000</f>
        <v>#DIV/0!</v>
      </c>
      <c r="K57" s="35" t="e">
        <f>I57-B57</f>
        <v>#DIV/0!</v>
      </c>
      <c r="L57" s="226" t="e">
        <f t="shared" si="7"/>
        <v>#DIV/0!</v>
      </c>
    </row>
    <row r="58" spans="1:13" ht="35.1" customHeight="1" x14ac:dyDescent="0.2">
      <c r="A58" s="6"/>
      <c r="B58" s="274" t="e">
        <f>H24</f>
        <v>#N/A</v>
      </c>
      <c r="C58" s="768"/>
      <c r="D58" s="35" t="e">
        <f t="shared" si="5"/>
        <v>#N/A</v>
      </c>
      <c r="E58" s="231" t="e">
        <f t="shared" si="6"/>
        <v>#N/A</v>
      </c>
      <c r="F58" s="34"/>
      <c r="G58" s="768"/>
      <c r="H58" s="765"/>
      <c r="I58" s="503" t="e">
        <f>AVERAGE(G58:H58)</f>
        <v>#DIV/0!</v>
      </c>
      <c r="J58" s="541" t="e">
        <f t="shared" si="8"/>
        <v>#DIV/0!</v>
      </c>
      <c r="K58" s="35" t="e">
        <f>I58-B58</f>
        <v>#DIV/0!</v>
      </c>
      <c r="L58" s="226" t="e">
        <f t="shared" si="7"/>
        <v>#DIV/0!</v>
      </c>
    </row>
    <row r="59" spans="1:13" ht="35.1" customHeight="1" thickBot="1" x14ac:dyDescent="0.25">
      <c r="A59" s="6"/>
      <c r="B59" s="275" t="e">
        <f>H25</f>
        <v>#N/A</v>
      </c>
      <c r="C59" s="770"/>
      <c r="D59" s="228" t="e">
        <f t="shared" si="5"/>
        <v>#N/A</v>
      </c>
      <c r="E59" s="232" t="e">
        <f t="shared" si="6"/>
        <v>#N/A</v>
      </c>
      <c r="F59" s="230"/>
      <c r="G59" s="770"/>
      <c r="H59" s="771"/>
      <c r="I59" s="549" t="e">
        <f t="shared" ref="I59" si="9">AVERAGE(G59:H59)</f>
        <v>#DIV/0!</v>
      </c>
      <c r="J59" s="550" t="e">
        <f t="shared" si="8"/>
        <v>#DIV/0!</v>
      </c>
      <c r="K59" s="228" t="e">
        <f>I59-B59</f>
        <v>#DIV/0!</v>
      </c>
      <c r="L59" s="229" t="e">
        <f t="shared" si="7"/>
        <v>#DIV/0!</v>
      </c>
    </row>
    <row r="60" spans="1:13" ht="9.9499999999999993" customHeight="1" thickBot="1" x14ac:dyDescent="0.25">
      <c r="A60" s="6"/>
      <c r="L60" s="6"/>
    </row>
    <row r="61" spans="1:13" ht="35.1" customHeight="1" thickBot="1" x14ac:dyDescent="0.25">
      <c r="A61" s="36"/>
      <c r="B61" s="1080" t="s">
        <v>60</v>
      </c>
      <c r="C61" s="1081"/>
      <c r="D61" s="1081"/>
      <c r="E61" s="1081"/>
      <c r="F61" s="1081"/>
      <c r="G61" s="1081"/>
      <c r="H61" s="1081"/>
      <c r="I61" s="1082"/>
    </row>
    <row r="62" spans="1:13" ht="35.1" customHeight="1" thickBot="1" x14ac:dyDescent="0.25">
      <c r="A62" s="36"/>
      <c r="B62" s="377" t="s">
        <v>274</v>
      </c>
      <c r="C62" s="153"/>
      <c r="D62" s="74" t="s">
        <v>6</v>
      </c>
      <c r="E62" s="154"/>
      <c r="F62" s="74" t="s">
        <v>4</v>
      </c>
      <c r="G62" s="155"/>
      <c r="H62" s="75" t="s">
        <v>5</v>
      </c>
      <c r="I62" s="156"/>
      <c r="J62" s="1"/>
      <c r="K62" s="1185"/>
      <c r="L62" s="1186"/>
    </row>
    <row r="63" spans="1:13" ht="35.1" customHeight="1" thickBot="1" x14ac:dyDescent="0.25">
      <c r="A63" s="73"/>
      <c r="B63" s="73"/>
      <c r="C63" s="73"/>
      <c r="D63" s="73"/>
      <c r="E63" s="73"/>
      <c r="F63" s="73"/>
      <c r="G63" s="73"/>
      <c r="H63" s="73"/>
      <c r="I63" s="73"/>
      <c r="J63" s="73"/>
      <c r="K63" s="73"/>
      <c r="L63" s="73"/>
      <c r="M63" s="73"/>
    </row>
    <row r="64" spans="1:13" ht="35.1" customHeight="1" thickBot="1" x14ac:dyDescent="0.25">
      <c r="A64" s="73"/>
      <c r="B64" s="1091" t="s">
        <v>270</v>
      </c>
      <c r="C64" s="1092"/>
      <c r="D64" s="74" t="s">
        <v>6</v>
      </c>
      <c r="E64" s="78">
        <f>(E32+E62)/2</f>
        <v>0</v>
      </c>
      <c r="F64" s="74" t="s">
        <v>4</v>
      </c>
      <c r="G64" s="78">
        <f>(G32+G62)/2</f>
        <v>0</v>
      </c>
      <c r="H64" s="75" t="s">
        <v>5</v>
      </c>
      <c r="I64" s="78">
        <f>(I32+I62)/2</f>
        <v>0</v>
      </c>
      <c r="J64" s="142"/>
      <c r="K64" s="1083" t="s">
        <v>279</v>
      </c>
      <c r="L64" s="1084"/>
    </row>
    <row r="65" spans="1:15" ht="38.25" customHeight="1" thickBot="1" x14ac:dyDescent="0.25">
      <c r="A65" s="73"/>
      <c r="B65" s="1091" t="s">
        <v>271</v>
      </c>
      <c r="C65" s="1092"/>
      <c r="D65" s="79" t="s">
        <v>6</v>
      </c>
      <c r="E65" s="78" t="e">
        <f>E64+(VLOOKUP(K28,'DATOS ° '!G153:T166,9,FALSE))*E64+(VLOOKUP(K28,'DATOS ° '!G153:T166,10,FALSE))</f>
        <v>#N/A</v>
      </c>
      <c r="F65" s="74" t="s">
        <v>4</v>
      </c>
      <c r="G65" s="383" t="e">
        <f>G64+(VLOOKUP(K28,'DATOS ° '!G153:T166,11,FALSE))*G64+(VLOOKUP(K28,'DATOS ° '!G153:T166,12,FALSE))</f>
        <v>#N/A</v>
      </c>
      <c r="H65" s="75" t="s">
        <v>5</v>
      </c>
      <c r="I65" s="78" t="e">
        <f>I64+(VLOOKUP(K28,'DATOS ° '!G153:T166,13,FALSE))*I64+(VLOOKUP(K28,'DATOS ° '!G153:T166,14,FALSE))</f>
        <v>#N/A</v>
      </c>
      <c r="K65" s="76" t="e">
        <f>VLOOKUP($K$62,'DATOS ° '!$A$156:$B$159,2,FALSE)</f>
        <v>#N/A</v>
      </c>
      <c r="L65" s="62"/>
    </row>
    <row r="66" spans="1:15" ht="21.75" customHeight="1" thickBot="1" x14ac:dyDescent="0.25">
      <c r="B66" s="1"/>
      <c r="C66" s="1"/>
      <c r="D66" s="1"/>
      <c r="E66" s="1"/>
      <c r="F66" s="1"/>
      <c r="G66" s="1"/>
      <c r="H66" s="1"/>
      <c r="I66" s="1"/>
      <c r="J66" s="1"/>
      <c r="K66" s="1"/>
    </row>
    <row r="67" spans="1:15" ht="35.1" customHeight="1" thickBot="1" x14ac:dyDescent="0.25">
      <c r="A67" s="1048" t="s">
        <v>34</v>
      </c>
      <c r="B67" s="1049"/>
      <c r="C67" s="1049"/>
      <c r="D67" s="1049"/>
      <c r="E67" s="1049"/>
      <c r="F67" s="1049"/>
      <c r="G67" s="1049"/>
      <c r="H67" s="1049"/>
      <c r="I67" s="1049"/>
      <c r="J67" s="1049"/>
      <c r="K67" s="1049"/>
      <c r="L67" s="1050"/>
    </row>
    <row r="68" spans="1:15" s="31" customFormat="1" ht="9.9499999999999993" customHeight="1" thickBot="1" x14ac:dyDescent="0.25"/>
    <row r="69" spans="1:15" ht="35.1" customHeight="1" thickBot="1" x14ac:dyDescent="0.25">
      <c r="B69" s="1"/>
      <c r="C69" s="1"/>
      <c r="D69" s="1"/>
      <c r="E69" s="1"/>
      <c r="F69" s="1088" t="s">
        <v>28</v>
      </c>
      <c r="G69" s="1089"/>
      <c r="H69" s="1089"/>
      <c r="I69" s="1089"/>
      <c r="J69" s="1090"/>
      <c r="K69" s="1"/>
    </row>
    <row r="70" spans="1:15" s="7" customFormat="1" ht="35.1" customHeight="1" thickBot="1" x14ac:dyDescent="0.25">
      <c r="D70" s="37"/>
      <c r="F70" s="363" t="e">
        <f>G21</f>
        <v>#N/A</v>
      </c>
      <c r="G70" s="364" t="e">
        <f>G22</f>
        <v>#N/A</v>
      </c>
      <c r="H70" s="364" t="e">
        <f>G23</f>
        <v>#N/A</v>
      </c>
      <c r="I70" s="364" t="e">
        <f>G24</f>
        <v>#N/A</v>
      </c>
      <c r="J70" s="365" t="e">
        <f>G25</f>
        <v>#N/A</v>
      </c>
      <c r="K70" s="1"/>
      <c r="L70" s="1"/>
      <c r="M70" s="1"/>
      <c r="N70" s="1"/>
      <c r="O70" s="1"/>
    </row>
    <row r="71" spans="1:15" s="31" customFormat="1" ht="9.9499999999999993" customHeight="1" thickBot="1" x14ac:dyDescent="0.25">
      <c r="L71" s="1"/>
      <c r="M71" s="1"/>
      <c r="N71" s="1"/>
      <c r="O71" s="1"/>
    </row>
    <row r="72" spans="1:15" ht="35.1" customHeight="1" thickBot="1" x14ac:dyDescent="0.25">
      <c r="B72" s="1054" t="s">
        <v>33</v>
      </c>
      <c r="C72" s="1055"/>
      <c r="D72" s="1056"/>
      <c r="E72" s="31"/>
      <c r="F72" s="1048" t="s">
        <v>48</v>
      </c>
      <c r="G72" s="1049"/>
      <c r="H72" s="1049"/>
      <c r="I72" s="1049"/>
      <c r="J72" s="1049"/>
      <c r="K72" s="38" t="s">
        <v>27</v>
      </c>
      <c r="L72" s="39" t="s">
        <v>103</v>
      </c>
    </row>
    <row r="73" spans="1:15" ht="35.1" customHeight="1" x14ac:dyDescent="0.2">
      <c r="A73" s="1093" t="s">
        <v>21</v>
      </c>
      <c r="B73" s="1094"/>
      <c r="C73" s="1094"/>
      <c r="D73" s="1094"/>
      <c r="E73" s="1095"/>
      <c r="F73" s="216" t="e">
        <f>(J55*$C$39)/(2*$G$34*SQRT(3))</f>
        <v>#DIV/0!</v>
      </c>
      <c r="G73" s="217" t="e">
        <f>(J56*$C$39)/(2*$G$34*SQRT(3))</f>
        <v>#DIV/0!</v>
      </c>
      <c r="H73" s="217" t="e">
        <f>(J57*$C$39)/(2*$G$34*SQRT(3))</f>
        <v>#DIV/0!</v>
      </c>
      <c r="I73" s="217" t="e">
        <f>(J58*$C$39)/(2*$G$34*SQRT(3))</f>
        <v>#DIV/0!</v>
      </c>
      <c r="J73" s="217" t="e">
        <f>(J59*$C$39)/(2*$G$34*SQRT(3))</f>
        <v>#DIV/0!</v>
      </c>
      <c r="K73" s="218" t="s">
        <v>50</v>
      </c>
      <c r="L73" s="206">
        <v>100</v>
      </c>
    </row>
    <row r="74" spans="1:15" ht="35.1" customHeight="1" x14ac:dyDescent="0.2">
      <c r="A74" s="1096" t="s">
        <v>22</v>
      </c>
      <c r="B74" s="1097"/>
      <c r="C74" s="1098"/>
      <c r="D74" s="1098"/>
      <c r="E74" s="1099"/>
      <c r="F74" s="219" t="e">
        <f>$F$48/SQRT($K$43)</f>
        <v>#DIV/0!</v>
      </c>
      <c r="G74" s="40" t="e">
        <f t="shared" ref="G74:J74" si="10">$F$48/SQRT($K$43)</f>
        <v>#DIV/0!</v>
      </c>
      <c r="H74" s="40" t="e">
        <f t="shared" si="10"/>
        <v>#DIV/0!</v>
      </c>
      <c r="I74" s="40" t="e">
        <f t="shared" si="10"/>
        <v>#DIV/0!</v>
      </c>
      <c r="J74" s="40" t="e">
        <f t="shared" si="10"/>
        <v>#DIV/0!</v>
      </c>
      <c r="K74" s="41" t="s">
        <v>51</v>
      </c>
      <c r="L74" s="220">
        <f>K43-1</f>
        <v>9</v>
      </c>
    </row>
    <row r="75" spans="1:15" ht="35.1" customHeight="1" thickBot="1" x14ac:dyDescent="0.25">
      <c r="A75" s="1100" t="s">
        <v>24</v>
      </c>
      <c r="B75" s="1101"/>
      <c r="C75" s="1074"/>
      <c r="D75" s="1074"/>
      <c r="E75" s="1075"/>
      <c r="F75" s="221" t="e">
        <f>($D$14*1000)/SQRT(6)</f>
        <v>#N/A</v>
      </c>
      <c r="G75" s="222" t="e">
        <f>($D$14*1000)/SQRT(6)</f>
        <v>#N/A</v>
      </c>
      <c r="H75" s="222" t="e">
        <f>($D$14*1000)/SQRT(6)</f>
        <v>#N/A</v>
      </c>
      <c r="I75" s="222" t="e">
        <f t="shared" ref="I75:J75" si="11">($D$14*1000)/SQRT(6)</f>
        <v>#N/A</v>
      </c>
      <c r="J75" s="222" t="e">
        <f t="shared" si="11"/>
        <v>#N/A</v>
      </c>
      <c r="K75" s="223" t="s">
        <v>50</v>
      </c>
      <c r="L75" s="212">
        <v>100</v>
      </c>
    </row>
    <row r="76" spans="1:15" ht="35.1" customHeight="1" thickBot="1" x14ac:dyDescent="0.25">
      <c r="A76" s="34"/>
      <c r="B76" s="34"/>
      <c r="C76" s="1071"/>
      <c r="D76" s="1072"/>
      <c r="E76" s="1073"/>
      <c r="F76" s="388" t="e">
        <f>SQRT((F73)^2+(F74)^2+(F75)^2)</f>
        <v>#DIV/0!</v>
      </c>
      <c r="G76" s="389" t="e">
        <f t="shared" ref="G76:J76" si="12">SQRT((G73)^2+(G74)^2+(G75)^2)</f>
        <v>#DIV/0!</v>
      </c>
      <c r="H76" s="389" t="e">
        <f t="shared" si="12"/>
        <v>#DIV/0!</v>
      </c>
      <c r="I76" s="389" t="e">
        <f t="shared" si="12"/>
        <v>#DIV/0!</v>
      </c>
      <c r="J76" s="389" t="e">
        <f t="shared" si="12"/>
        <v>#DIV/0!</v>
      </c>
      <c r="K76" s="224" t="s">
        <v>51</v>
      </c>
      <c r="L76" s="7"/>
    </row>
    <row r="77" spans="1:15" ht="35.1" customHeight="1" thickBot="1" x14ac:dyDescent="0.25">
      <c r="A77" s="34"/>
      <c r="B77" s="34"/>
      <c r="C77" s="34"/>
      <c r="D77" s="34"/>
      <c r="F77" s="1085" t="s">
        <v>295</v>
      </c>
      <c r="G77" s="1086"/>
      <c r="H77" s="1086"/>
      <c r="I77" s="1086"/>
      <c r="J77" s="1087"/>
      <c r="K77" s="1"/>
    </row>
    <row r="78" spans="1:15" ht="35.1" customHeight="1" x14ac:dyDescent="0.2">
      <c r="A78" s="1093" t="s">
        <v>25</v>
      </c>
      <c r="B78" s="1094"/>
      <c r="C78" s="1180"/>
      <c r="D78" s="1180"/>
      <c r="E78" s="1181"/>
      <c r="F78" s="204" t="e">
        <f>I21/L32</f>
        <v>#N/A</v>
      </c>
      <c r="G78" s="205" t="e">
        <f>I22/L32</f>
        <v>#N/A</v>
      </c>
      <c r="H78" s="205" t="e">
        <f>I23/L32</f>
        <v>#N/A</v>
      </c>
      <c r="I78" s="205" t="e">
        <f>I24/L32</f>
        <v>#N/A</v>
      </c>
      <c r="J78" s="205" t="e">
        <f>I25/L32</f>
        <v>#N/A</v>
      </c>
      <c r="K78" s="380" t="s">
        <v>51</v>
      </c>
      <c r="L78" s="206">
        <v>100</v>
      </c>
    </row>
    <row r="79" spans="1:15" ht="35.1" customHeight="1" x14ac:dyDescent="0.2">
      <c r="A79" s="1178" t="s">
        <v>26</v>
      </c>
      <c r="B79" s="1179"/>
      <c r="C79" s="1069"/>
      <c r="D79" s="1069"/>
      <c r="E79" s="1070"/>
      <c r="F79" s="207" t="e">
        <f>(3*I21)/(4*SQRT(3))</f>
        <v>#N/A</v>
      </c>
      <c r="G79" s="42" t="e">
        <f>(3*I22)/(4*SQRT(3))</f>
        <v>#N/A</v>
      </c>
      <c r="H79" s="42" t="e">
        <f>(3*I23)/(4*SQRT(3))</f>
        <v>#N/A</v>
      </c>
      <c r="I79" s="42" t="e">
        <f>(3*I24)/(4*SQRT(3))</f>
        <v>#N/A</v>
      </c>
      <c r="J79" s="42" t="e">
        <f>(3*I25)/(4*SQRT(3))</f>
        <v>#N/A</v>
      </c>
      <c r="K79" s="33" t="s">
        <v>50</v>
      </c>
      <c r="L79" s="208">
        <v>100</v>
      </c>
    </row>
    <row r="80" spans="1:15" ht="35.1" customHeight="1" thickBot="1" x14ac:dyDescent="0.25">
      <c r="A80" s="1100" t="s">
        <v>32</v>
      </c>
      <c r="B80" s="1101"/>
      <c r="C80" s="1171"/>
      <c r="D80" s="1171"/>
      <c r="E80" s="1172"/>
      <c r="F80" s="209" t="e">
        <f>I21/SQRT(3)</f>
        <v>#N/A</v>
      </c>
      <c r="G80" s="210" t="e">
        <f>I22/SQRT(3)</f>
        <v>#N/A</v>
      </c>
      <c r="H80" s="210" t="e">
        <f>I23/SQRT(3)</f>
        <v>#N/A</v>
      </c>
      <c r="I80" s="210" t="e">
        <f>I24/SQRT(3)</f>
        <v>#N/A</v>
      </c>
      <c r="J80" s="210" t="e">
        <f>I25/SQRT(3)</f>
        <v>#N/A</v>
      </c>
      <c r="K80" s="211" t="s">
        <v>50</v>
      </c>
      <c r="L80" s="212">
        <v>100</v>
      </c>
    </row>
    <row r="81" spans="1:20" ht="35.1" customHeight="1" thickBot="1" x14ac:dyDescent="0.25">
      <c r="C81" s="1173"/>
      <c r="D81" s="1174"/>
      <c r="E81" s="1175"/>
      <c r="F81" s="213" t="e">
        <f>SQRT(F78^2+F79^2+F80^2)</f>
        <v>#N/A</v>
      </c>
      <c r="G81" s="214" t="e">
        <f t="shared" ref="G81:J81" si="13">SQRT(G78^2+G79^2+G80^2)</f>
        <v>#N/A</v>
      </c>
      <c r="H81" s="214" t="e">
        <f t="shared" si="13"/>
        <v>#N/A</v>
      </c>
      <c r="I81" s="214" t="e">
        <f t="shared" si="13"/>
        <v>#N/A</v>
      </c>
      <c r="J81" s="214" t="e">
        <f t="shared" si="13"/>
        <v>#N/A</v>
      </c>
      <c r="K81" s="215" t="s">
        <v>51</v>
      </c>
      <c r="L81" s="77"/>
      <c r="N81" s="368"/>
    </row>
    <row r="82" spans="1:20" ht="35.1" customHeight="1" thickBot="1" x14ac:dyDescent="0.25">
      <c r="C82" s="1"/>
      <c r="D82" s="1"/>
      <c r="F82" s="1153" t="s">
        <v>296</v>
      </c>
      <c r="G82" s="1154"/>
      <c r="H82" s="1154"/>
      <c r="I82" s="1154"/>
      <c r="J82" s="1155"/>
      <c r="K82" s="1"/>
      <c r="N82" s="371"/>
    </row>
    <row r="83" spans="1:20" ht="35.1" customHeight="1" thickBot="1" x14ac:dyDescent="0.25">
      <c r="B83" s="1"/>
      <c r="C83" s="197"/>
      <c r="D83" s="198"/>
      <c r="E83" s="199"/>
      <c r="F83" s="384" t="e">
        <f>SQRT((F76)^2+(F81)^2)</f>
        <v>#DIV/0!</v>
      </c>
      <c r="G83" s="385" t="e">
        <f t="shared" ref="G83:J83" si="14">SQRT((G76)^2+(G81)^2)</f>
        <v>#DIV/0!</v>
      </c>
      <c r="H83" s="385" t="e">
        <f t="shared" si="14"/>
        <v>#DIV/0!</v>
      </c>
      <c r="I83" s="385" t="e">
        <f t="shared" si="14"/>
        <v>#DIV/0!</v>
      </c>
      <c r="J83" s="386" t="e">
        <f t="shared" si="14"/>
        <v>#DIV/0!</v>
      </c>
    </row>
    <row r="84" spans="1:20" s="7" customFormat="1" ht="9.9499999999999993" customHeight="1" thickBot="1" x14ac:dyDescent="0.25">
      <c r="A84" s="43"/>
      <c r="B84" s="43"/>
      <c r="D84" s="36"/>
      <c r="F84" s="387"/>
      <c r="G84" s="387"/>
      <c r="H84" s="387"/>
      <c r="I84" s="387"/>
      <c r="J84" s="387"/>
    </row>
    <row r="85" spans="1:20" s="31" customFormat="1" ht="35.1" customHeight="1" thickBot="1" x14ac:dyDescent="0.25">
      <c r="F85" s="1051" t="s">
        <v>29</v>
      </c>
      <c r="G85" s="1052"/>
      <c r="H85" s="1052"/>
      <c r="I85" s="1052"/>
      <c r="J85" s="1053"/>
    </row>
    <row r="86" spans="1:20" ht="15.75" thickBot="1" x14ac:dyDescent="0.25">
      <c r="B86" s="1"/>
      <c r="C86" s="26"/>
      <c r="D86" s="26"/>
      <c r="F86" s="1076" t="s">
        <v>56</v>
      </c>
      <c r="G86" s="1077"/>
      <c r="H86" s="1077"/>
      <c r="I86" s="1077"/>
      <c r="J86" s="1078"/>
      <c r="N86" s="369">
        <v>0.3</v>
      </c>
      <c r="O86" s="369">
        <v>1.65</v>
      </c>
      <c r="P86" s="370"/>
      <c r="Q86" s="31"/>
      <c r="R86" s="31"/>
      <c r="S86" s="31"/>
      <c r="T86" s="31"/>
    </row>
    <row r="87" spans="1:20" ht="35.1" customHeight="1" thickBot="1" x14ac:dyDescent="0.25">
      <c r="A87" s="1165" t="s">
        <v>96</v>
      </c>
      <c r="B87" s="1166"/>
      <c r="C87" s="1166"/>
      <c r="D87" s="1169"/>
      <c r="E87" s="1169"/>
      <c r="F87" s="203">
        <v>100</v>
      </c>
      <c r="G87" s="45">
        <v>100</v>
      </c>
      <c r="H87" s="45">
        <v>100</v>
      </c>
      <c r="I87" s="45">
        <v>100</v>
      </c>
      <c r="J87" s="373">
        <v>100</v>
      </c>
      <c r="N87" s="1191" t="s">
        <v>339</v>
      </c>
      <c r="O87" s="1192"/>
      <c r="P87" s="1193"/>
      <c r="Q87" s="31"/>
      <c r="R87" s="31"/>
      <c r="S87" s="31"/>
      <c r="T87" s="31"/>
    </row>
    <row r="88" spans="1:20" ht="35.1" customHeight="1" thickBot="1" x14ac:dyDescent="0.25">
      <c r="A88" s="1164" t="s">
        <v>97</v>
      </c>
      <c r="B88" s="1067"/>
      <c r="C88" s="1067"/>
      <c r="D88" s="1170"/>
      <c r="E88" s="1170"/>
      <c r="F88" s="193">
        <f>$K$43-1</f>
        <v>9</v>
      </c>
      <c r="G88" s="44">
        <f t="shared" ref="G88:J88" si="15">$K$43-1</f>
        <v>9</v>
      </c>
      <c r="H88" s="44">
        <f t="shared" si="15"/>
        <v>9</v>
      </c>
      <c r="I88" s="44">
        <f t="shared" si="15"/>
        <v>9</v>
      </c>
      <c r="J88" s="194">
        <f t="shared" si="15"/>
        <v>9</v>
      </c>
      <c r="K88" s="568" t="s">
        <v>332</v>
      </c>
      <c r="L88" s="569" t="e">
        <f>MAX(J73:J75,J78:J80)</f>
        <v>#DIV/0!</v>
      </c>
      <c r="M88" s="578" t="e">
        <f>IF((L89)&lt;=(N86),"165","k=2")</f>
        <v>#DIV/0!</v>
      </c>
      <c r="N88" s="572" t="s">
        <v>333</v>
      </c>
      <c r="O88" s="573" t="s">
        <v>334</v>
      </c>
      <c r="P88" s="574" t="s">
        <v>335</v>
      </c>
      <c r="Q88" s="31"/>
      <c r="R88" s="31"/>
      <c r="S88" s="31"/>
      <c r="T88" s="31"/>
    </row>
    <row r="89" spans="1:20" ht="35.1" customHeight="1" thickBot="1" x14ac:dyDescent="0.25">
      <c r="A89" s="1176" t="s">
        <v>98</v>
      </c>
      <c r="B89" s="1177"/>
      <c r="C89" s="1177"/>
      <c r="D89" s="1168"/>
      <c r="E89" s="1168"/>
      <c r="F89" s="193">
        <v>100</v>
      </c>
      <c r="G89" s="44">
        <v>100</v>
      </c>
      <c r="H89" s="44">
        <v>100</v>
      </c>
      <c r="I89" s="44">
        <v>100</v>
      </c>
      <c r="J89" s="194">
        <v>100</v>
      </c>
      <c r="K89" s="570" t="s">
        <v>336</v>
      </c>
      <c r="L89" s="571" t="e">
        <f>SQRT((J73)^2+(J74)^2+J78^2+J79^2+J80^2)/J75</f>
        <v>#DIV/0!</v>
      </c>
      <c r="M89" s="367"/>
      <c r="N89" s="575" t="s">
        <v>333</v>
      </c>
      <c r="O89" s="576" t="s">
        <v>337</v>
      </c>
      <c r="P89" s="577" t="s">
        <v>338</v>
      </c>
      <c r="Q89" s="31"/>
      <c r="R89" s="31"/>
      <c r="S89" s="31"/>
      <c r="T89" s="31"/>
    </row>
    <row r="90" spans="1:20" ht="50.1" customHeight="1" thickBot="1" x14ac:dyDescent="0.25">
      <c r="B90" s="200"/>
      <c r="C90" s="201"/>
      <c r="D90" s="378"/>
      <c r="E90" s="202"/>
      <c r="F90" s="239" t="e">
        <f>F76^4/(F73^4/100+(F74^4/(K43-1))+(F75^4/100))</f>
        <v>#DIV/0!</v>
      </c>
      <c r="G90" s="240" t="e">
        <f>G76^4/(G73^4/100+(G74^4/(K43-1))+(G75^4/100))</f>
        <v>#DIV/0!</v>
      </c>
      <c r="H90" s="240" t="e">
        <f>H76^4/(H73^4/100+(H74^4/(K43-1))+(H75^4/100))</f>
        <v>#DIV/0!</v>
      </c>
      <c r="I90" s="240" t="e">
        <f>I76^4/(I73^4/100+(I74^4/(K43-1))+(I75^4/100))</f>
        <v>#DIV/0!</v>
      </c>
      <c r="J90" s="241" t="e">
        <f>J76^4/(J73^4/100+(J74^4/(K43-1))+(J75^4/100))</f>
        <v>#DIV/0!</v>
      </c>
      <c r="K90" s="1"/>
      <c r="Q90" s="31"/>
      <c r="R90" s="31"/>
      <c r="S90" s="31"/>
      <c r="T90" s="31"/>
    </row>
    <row r="91" spans="1:20" ht="35.1" customHeight="1" thickBot="1" x14ac:dyDescent="0.25">
      <c r="B91" s="1"/>
      <c r="C91" s="26"/>
      <c r="D91" s="26"/>
      <c r="E91" s="26"/>
      <c r="F91" s="1063" t="s">
        <v>55</v>
      </c>
      <c r="G91" s="1064"/>
      <c r="H91" s="1064"/>
      <c r="I91" s="1064"/>
      <c r="J91" s="1065"/>
      <c r="Q91" s="31"/>
      <c r="R91" s="31"/>
      <c r="S91" s="31"/>
      <c r="T91" s="31"/>
    </row>
    <row r="92" spans="1:20" ht="35.1" customHeight="1" x14ac:dyDescent="0.2">
      <c r="A92" s="1066" t="s">
        <v>99</v>
      </c>
      <c r="B92" s="1067"/>
      <c r="C92" s="1067"/>
      <c r="D92" s="1068"/>
      <c r="E92" s="1068"/>
      <c r="F92" s="191">
        <v>100</v>
      </c>
      <c r="G92" s="245">
        <v>100</v>
      </c>
      <c r="H92" s="245">
        <v>100</v>
      </c>
      <c r="I92" s="245">
        <v>100</v>
      </c>
      <c r="J92" s="192">
        <v>100</v>
      </c>
      <c r="Q92" s="31"/>
      <c r="R92" s="31"/>
      <c r="S92" s="31"/>
      <c r="T92" s="31"/>
    </row>
    <row r="93" spans="1:20" ht="35.1" customHeight="1" x14ac:dyDescent="0.2">
      <c r="A93" s="1066" t="s">
        <v>100</v>
      </c>
      <c r="B93" s="1067"/>
      <c r="C93" s="1067"/>
      <c r="D93" s="1068"/>
      <c r="E93" s="1068"/>
      <c r="F93" s="193">
        <v>100</v>
      </c>
      <c r="G93" s="44">
        <v>100</v>
      </c>
      <c r="H93" s="44">
        <v>100</v>
      </c>
      <c r="I93" s="44">
        <v>100</v>
      </c>
      <c r="J93" s="194">
        <v>100</v>
      </c>
      <c r="K93" s="1"/>
      <c r="Q93" s="31"/>
      <c r="R93" s="31"/>
      <c r="S93" s="31"/>
      <c r="T93" s="31"/>
    </row>
    <row r="94" spans="1:20" ht="35.1" customHeight="1" x14ac:dyDescent="0.25">
      <c r="A94" s="1066" t="s">
        <v>101</v>
      </c>
      <c r="B94" s="1067"/>
      <c r="C94" s="1067"/>
      <c r="D94" s="1068"/>
      <c r="E94" s="1068"/>
      <c r="F94" s="193">
        <v>100</v>
      </c>
      <c r="G94" s="44">
        <v>100</v>
      </c>
      <c r="H94" s="44">
        <v>100</v>
      </c>
      <c r="I94" s="44">
        <v>100</v>
      </c>
      <c r="J94" s="194">
        <v>100</v>
      </c>
      <c r="K94" s="497"/>
      <c r="Q94" s="31"/>
      <c r="R94" s="31"/>
      <c r="S94" s="31"/>
      <c r="T94" s="31"/>
    </row>
    <row r="95" spans="1:20" ht="50.1" customHeight="1" thickBot="1" x14ac:dyDescent="0.25">
      <c r="B95" s="1167"/>
      <c r="C95" s="1167"/>
      <c r="D95" s="1167"/>
      <c r="E95" s="1066"/>
      <c r="F95" s="390" t="e">
        <f>F81^4/((F78^4/100)+(F79^4/100)+(F80^4/100))</f>
        <v>#N/A</v>
      </c>
      <c r="G95" s="391" t="e">
        <f>G81^4/((G78^4/100)+(G79^4/100)+(G80^4/100))</f>
        <v>#N/A</v>
      </c>
      <c r="H95" s="391" t="e">
        <f>H81^4/((H78^4/100)+(H79^4/100)+(H80^4/100))</f>
        <v>#N/A</v>
      </c>
      <c r="I95" s="391" t="e">
        <f>I81^4/((I78^4/100)+(I79^4/100)+(I80^4/100))</f>
        <v>#N/A</v>
      </c>
      <c r="J95" s="392" t="e">
        <f>J81^4/((J78^4/100)+(J79^4/100)+(J80^4/100))</f>
        <v>#N/A</v>
      </c>
      <c r="Q95" s="31"/>
      <c r="R95" s="31"/>
      <c r="S95" s="31"/>
      <c r="T95" s="31"/>
    </row>
    <row r="96" spans="1:20" ht="35.1" customHeight="1" thickBot="1" x14ac:dyDescent="0.25">
      <c r="B96" s="1"/>
      <c r="C96" s="1"/>
      <c r="D96" s="1"/>
      <c r="E96" s="1"/>
      <c r="F96" s="1060" t="s">
        <v>30</v>
      </c>
      <c r="G96" s="1061"/>
      <c r="H96" s="1061"/>
      <c r="I96" s="1061"/>
      <c r="J96" s="1062"/>
      <c r="K96" s="1"/>
    </row>
    <row r="97" spans="1:13" ht="50.1" customHeight="1" x14ac:dyDescent="0.2">
      <c r="B97" s="7"/>
      <c r="C97" s="1189"/>
      <c r="D97" s="1069"/>
      <c r="E97" s="1190"/>
      <c r="F97" s="46" t="e">
        <f>F83^4/((F76^4/F90)+(F81^4/F95))</f>
        <v>#DIV/0!</v>
      </c>
      <c r="G97" s="47" t="e">
        <f>G83^4/((G76^4/G90)+(G81^4/G95))</f>
        <v>#DIV/0!</v>
      </c>
      <c r="H97" s="47" t="e">
        <f>H83^4/((H76^4/H90)+(H81^4/H95))</f>
        <v>#DIV/0!</v>
      </c>
      <c r="I97" s="47" t="e">
        <f>I83^4/((I76^4/I90)+(I81^4/I95))</f>
        <v>#DIV/0!</v>
      </c>
      <c r="J97" s="47" t="e">
        <f>J83^4/((J76^4/J90)+(J81^4/J95))</f>
        <v>#DIV/0!</v>
      </c>
      <c r="K97" s="1"/>
    </row>
    <row r="98" spans="1:13" s="7" customFormat="1" ht="9.9499999999999993" customHeight="1" thickBot="1" x14ac:dyDescent="0.25">
      <c r="B98" s="43"/>
      <c r="C98" s="43"/>
      <c r="E98" s="36"/>
    </row>
    <row r="99" spans="1:13" ht="35.1" customHeight="1" thickBot="1" x14ac:dyDescent="0.25">
      <c r="B99" s="1"/>
      <c r="C99" s="1"/>
      <c r="D99" s="1"/>
      <c r="E99" s="1"/>
      <c r="F99" s="1060" t="s">
        <v>31</v>
      </c>
      <c r="G99" s="1061"/>
      <c r="H99" s="1061"/>
      <c r="I99" s="1061"/>
      <c r="J99" s="1062"/>
      <c r="K99" s="1"/>
    </row>
    <row r="100" spans="1:13" ht="35.1" customHeight="1" thickBot="1" x14ac:dyDescent="0.25">
      <c r="B100" s="200"/>
      <c r="C100" s="276"/>
      <c r="D100" s="201"/>
      <c r="E100" s="199"/>
      <c r="F100" s="393" t="e">
        <f>_xlfn.T.INV.2T(100%-$I$102,F97)</f>
        <v>#DIV/0!</v>
      </c>
      <c r="G100" s="394" t="e">
        <f>_xlfn.T.INV.2T(100%-$I$102,G97)</f>
        <v>#DIV/0!</v>
      </c>
      <c r="H100" s="394" t="e">
        <f>_xlfn.T.INV.2T(100%-$I$102,H97)</f>
        <v>#DIV/0!</v>
      </c>
      <c r="I100" s="394" t="e">
        <f>_xlfn.T.INV.2T(100%-$I$102,I97)</f>
        <v>#DIV/0!</v>
      </c>
      <c r="J100" s="394" t="e">
        <f>_xlfn.T.INV.2T(100%-$I$102,J97)</f>
        <v>#DIV/0!</v>
      </c>
      <c r="K100" s="1"/>
    </row>
    <row r="101" spans="1:13" ht="9.9499999999999993" customHeight="1" thickBot="1" x14ac:dyDescent="0.25">
      <c r="K101" s="1"/>
    </row>
    <row r="102" spans="1:13" ht="35.1" customHeight="1" thickBot="1" x14ac:dyDescent="0.25">
      <c r="F102" s="1057" t="s">
        <v>57</v>
      </c>
      <c r="G102" s="1058"/>
      <c r="H102" s="1059"/>
      <c r="I102" s="277">
        <f>'DATOS ° '!N8</f>
        <v>0.95450000000000002</v>
      </c>
      <c r="L102" s="6"/>
    </row>
    <row r="103" spans="1:13" s="31" customFormat="1" ht="9.9499999999999993" customHeight="1" thickBot="1" x14ac:dyDescent="0.25">
      <c r="F103" s="48"/>
      <c r="G103" s="48"/>
      <c r="H103" s="48"/>
      <c r="I103" s="49"/>
      <c r="J103" s="49"/>
    </row>
    <row r="104" spans="1:13" s="31" customFormat="1" ht="35.1" customHeight="1" thickBot="1" x14ac:dyDescent="0.25">
      <c r="B104" s="1187" t="s">
        <v>268</v>
      </c>
      <c r="C104" s="1188"/>
      <c r="D104" s="1188"/>
      <c r="E104" s="72"/>
      <c r="F104" s="278" t="e">
        <f>F83*F100</f>
        <v>#DIV/0!</v>
      </c>
      <c r="G104" s="279" t="e">
        <f>G83*G100</f>
        <v>#DIV/0!</v>
      </c>
      <c r="H104" s="279" t="e">
        <f>H83*H100</f>
        <v>#DIV/0!</v>
      </c>
      <c r="I104" s="279" t="e">
        <f>I83*I100</f>
        <v>#DIV/0!</v>
      </c>
      <c r="J104" s="280" t="e">
        <f>J83*J100</f>
        <v>#DIV/0!</v>
      </c>
    </row>
    <row r="105" spans="1:13" s="31" customFormat="1" ht="35.1" customHeight="1" thickBot="1" x14ac:dyDescent="0.25">
      <c r="B105" s="1107" t="s">
        <v>269</v>
      </c>
      <c r="C105" s="1108"/>
      <c r="D105" s="1108"/>
      <c r="E105" s="80"/>
      <c r="F105" s="281" t="e">
        <f>F104/1000</f>
        <v>#DIV/0!</v>
      </c>
      <c r="G105" s="282" t="e">
        <f t="shared" ref="G105:J105" si="16">G104/1000</f>
        <v>#DIV/0!</v>
      </c>
      <c r="H105" s="282" t="e">
        <f t="shared" si="16"/>
        <v>#DIV/0!</v>
      </c>
      <c r="I105" s="283" t="e">
        <f t="shared" si="16"/>
        <v>#DIV/0!</v>
      </c>
      <c r="J105" s="284" t="e">
        <f t="shared" si="16"/>
        <v>#DIV/0!</v>
      </c>
    </row>
    <row r="106" spans="1:13" s="31" customFormat="1" ht="33" customHeight="1" thickBot="1" x14ac:dyDescent="0.25">
      <c r="E106" s="48"/>
      <c r="F106" s="48"/>
      <c r="G106" s="48"/>
      <c r="H106" s="49"/>
      <c r="I106" s="49"/>
      <c r="J106" s="50"/>
      <c r="K106" s="50"/>
      <c r="L106" s="50"/>
      <c r="M106" s="50"/>
    </row>
    <row r="107" spans="1:13" s="31" customFormat="1" ht="35.1" customHeight="1" thickBot="1" x14ac:dyDescent="0.25">
      <c r="A107" s="1060" t="s">
        <v>297</v>
      </c>
      <c r="B107" s="1061"/>
      <c r="C107" s="1061"/>
      <c r="D107" s="1061"/>
      <c r="E107" s="1061"/>
      <c r="F107" s="1061"/>
      <c r="G107" s="1062"/>
      <c r="I107" s="1102" t="s">
        <v>109</v>
      </c>
      <c r="J107" s="1103"/>
      <c r="K107" s="1104"/>
    </row>
    <row r="108" spans="1:13" s="31" customFormat="1" ht="35.1" customHeight="1" x14ac:dyDescent="0.2">
      <c r="A108" s="285" t="s">
        <v>36</v>
      </c>
      <c r="B108" s="286" t="s">
        <v>37</v>
      </c>
      <c r="C108" s="286" t="s">
        <v>118</v>
      </c>
      <c r="D108" s="286" t="s">
        <v>119</v>
      </c>
      <c r="E108" s="287" t="s">
        <v>40</v>
      </c>
      <c r="F108" s="288"/>
      <c r="G108" s="1105" t="s">
        <v>120</v>
      </c>
      <c r="I108" s="1109"/>
      <c r="J108" s="1110"/>
      <c r="K108" s="1111"/>
    </row>
    <row r="109" spans="1:13" s="31" customFormat="1" ht="35.1" customHeight="1" thickBot="1" x14ac:dyDescent="0.25">
      <c r="A109" s="289"/>
      <c r="B109" s="290"/>
      <c r="C109" s="290"/>
      <c r="D109" s="290"/>
      <c r="E109" s="291"/>
      <c r="F109" s="292"/>
      <c r="G109" s="1106"/>
      <c r="I109" s="1112"/>
      <c r="J109" s="1113"/>
      <c r="K109" s="1114"/>
    </row>
    <row r="110" spans="1:13" s="31" customFormat="1" ht="35.1" customHeight="1" x14ac:dyDescent="0.2">
      <c r="A110" s="293" t="e">
        <f>(1/F83)^2</f>
        <v>#DIV/0!</v>
      </c>
      <c r="B110" s="294" t="e">
        <f>A110*J55*L55</f>
        <v>#DIV/0!</v>
      </c>
      <c r="C110" s="294" t="e">
        <f>(J55)^2*A110</f>
        <v>#DIV/0!</v>
      </c>
      <c r="D110" s="294" t="e">
        <f>((($B$118*$E$119)+($B$119*(J55^2))))</f>
        <v>#DIV/0!</v>
      </c>
      <c r="E110" s="295" t="e">
        <f>SQRT($E$119+D110)</f>
        <v>#N/A</v>
      </c>
      <c r="F110" s="296"/>
      <c r="G110" s="297" t="e">
        <f>A110*($B$117*J55-L55)^2</f>
        <v>#DIV/0!</v>
      </c>
      <c r="I110" s="1112"/>
      <c r="J110" s="1113"/>
      <c r="K110" s="1114"/>
    </row>
    <row r="111" spans="1:13" s="31" customFormat="1" ht="35.1" customHeight="1" x14ac:dyDescent="0.2">
      <c r="A111" s="298" t="e">
        <f>(1/G83)^2</f>
        <v>#DIV/0!</v>
      </c>
      <c r="B111" s="51" t="e">
        <f>A111*J56*L56</f>
        <v>#DIV/0!</v>
      </c>
      <c r="C111" s="51" t="e">
        <f>(J56)^2*A111</f>
        <v>#DIV/0!</v>
      </c>
      <c r="D111" s="51" t="e">
        <f>$B$118*$E$119+$B$119*J56^2</f>
        <v>#DIV/0!</v>
      </c>
      <c r="E111" s="52" t="e">
        <f>SQRT($E$119+D111)</f>
        <v>#N/A</v>
      </c>
      <c r="F111" s="53"/>
      <c r="G111" s="299" t="e">
        <f>A111*($B$117*J56-L56)^2</f>
        <v>#DIV/0!</v>
      </c>
      <c r="I111" s="1112"/>
      <c r="J111" s="1113"/>
      <c r="K111" s="1114"/>
    </row>
    <row r="112" spans="1:13" s="31" customFormat="1" ht="35.1" customHeight="1" x14ac:dyDescent="0.2">
      <c r="A112" s="298" t="e">
        <f>(1/H83)^2</f>
        <v>#DIV/0!</v>
      </c>
      <c r="B112" s="51" t="e">
        <f>A112*J57*L57</f>
        <v>#DIV/0!</v>
      </c>
      <c r="C112" s="51" t="e">
        <f>(J57)^2*A112</f>
        <v>#DIV/0!</v>
      </c>
      <c r="D112" s="51" t="e">
        <f>$B$118*$E$119+$B$119*J57^2</f>
        <v>#DIV/0!</v>
      </c>
      <c r="E112" s="52" t="e">
        <f>SQRT($E$119+D112)</f>
        <v>#N/A</v>
      </c>
      <c r="F112" s="54"/>
      <c r="G112" s="299" t="e">
        <f>A112*($B$117*J57-L57)^2</f>
        <v>#DIV/0!</v>
      </c>
      <c r="I112" s="1112"/>
      <c r="J112" s="1113"/>
      <c r="K112" s="1114"/>
    </row>
    <row r="113" spans="1:12" s="31" customFormat="1" ht="35.1" customHeight="1" x14ac:dyDescent="0.2">
      <c r="A113" s="298" t="e">
        <f>(1/I83)^2</f>
        <v>#DIV/0!</v>
      </c>
      <c r="B113" s="51" t="e">
        <f>A113*J58*L58</f>
        <v>#DIV/0!</v>
      </c>
      <c r="C113" s="51" t="e">
        <f>(J58)^2*A113</f>
        <v>#DIV/0!</v>
      </c>
      <c r="D113" s="51" t="e">
        <f>$B$118*$E$119+$B$119*J58^2</f>
        <v>#DIV/0!</v>
      </c>
      <c r="E113" s="52" t="e">
        <f>SQRT($E$119+D113)</f>
        <v>#N/A</v>
      </c>
      <c r="F113" s="53"/>
      <c r="G113" s="299" t="e">
        <f>A113*($B$117*J58-L58)^2</f>
        <v>#DIV/0!</v>
      </c>
      <c r="I113" s="1112"/>
      <c r="J113" s="1113"/>
      <c r="K113" s="1114"/>
    </row>
    <row r="114" spans="1:12" s="31" customFormat="1" ht="35.1" customHeight="1" thickBot="1" x14ac:dyDescent="0.25">
      <c r="A114" s="298" t="e">
        <f>(1/J83)^2</f>
        <v>#DIV/0!</v>
      </c>
      <c r="B114" s="51" t="e">
        <f>A114*J59*L59</f>
        <v>#DIV/0!</v>
      </c>
      <c r="C114" s="51" t="e">
        <f>(J59)^2*A114</f>
        <v>#DIV/0!</v>
      </c>
      <c r="D114" s="51" t="e">
        <f>$B$118*$E$119+$B$119*J59^2</f>
        <v>#DIV/0!</v>
      </c>
      <c r="E114" s="304" t="e">
        <f>SQRT($E$119+D114)</f>
        <v>#N/A</v>
      </c>
      <c r="F114" s="305"/>
      <c r="G114" s="299" t="e">
        <f>A114*($B$117*J59-L59)^2</f>
        <v>#DIV/0!</v>
      </c>
      <c r="I114" s="1112"/>
      <c r="J114" s="1113"/>
      <c r="K114" s="1114"/>
    </row>
    <row r="115" spans="1:12" s="6" customFormat="1" ht="27" customHeight="1" thickBot="1" x14ac:dyDescent="0.3">
      <c r="A115" s="300" t="s">
        <v>38</v>
      </c>
      <c r="B115" s="301" t="e">
        <f t="shared" ref="B115" si="17">SUM(B110:B114)</f>
        <v>#DIV/0!</v>
      </c>
      <c r="C115" s="301" t="e">
        <f>SUM(C110:C114)</f>
        <v>#DIV/0!</v>
      </c>
      <c r="D115" s="302"/>
      <c r="E115" s="306" t="s">
        <v>121</v>
      </c>
      <c r="F115" s="307"/>
      <c r="G115" s="303" t="e">
        <f>SUM(G110:G114)</f>
        <v>#DIV/0!</v>
      </c>
      <c r="I115" s="1115"/>
      <c r="J115" s="1116"/>
      <c r="K115" s="1117"/>
    </row>
    <row r="116" spans="1:12" s="6" customFormat="1" ht="9.9499999999999993" customHeight="1" thickBot="1" x14ac:dyDescent="0.25">
      <c r="B116" s="55"/>
      <c r="C116" s="55"/>
      <c r="D116" s="55"/>
      <c r="E116" s="55"/>
      <c r="F116" s="55"/>
      <c r="G116" s="55"/>
    </row>
    <row r="117" spans="1:12" ht="35.1" customHeight="1" thickBot="1" x14ac:dyDescent="0.25">
      <c r="A117" s="329" t="s">
        <v>122</v>
      </c>
      <c r="B117" s="327" t="e">
        <f>(B115/C115)</f>
        <v>#DIV/0!</v>
      </c>
      <c r="C117" s="313"/>
      <c r="D117" s="313"/>
      <c r="E117" s="313"/>
      <c r="F117" s="321" t="s">
        <v>43</v>
      </c>
      <c r="G117" s="318">
        <v>2</v>
      </c>
      <c r="I117" s="308"/>
      <c r="J117" s="309"/>
      <c r="K117" s="310"/>
    </row>
    <row r="118" spans="1:12" ht="35.1" customHeight="1" thickBot="1" x14ac:dyDescent="0.25">
      <c r="A118" s="328" t="s">
        <v>123</v>
      </c>
      <c r="B118" s="319" t="e">
        <f>B117^2</f>
        <v>#DIV/0!</v>
      </c>
      <c r="C118" s="379" t="s">
        <v>124</v>
      </c>
      <c r="D118" s="307"/>
      <c r="E118" s="324" t="e">
        <f>F48^2</f>
        <v>#DIV/0!</v>
      </c>
      <c r="F118" s="322" t="s">
        <v>44</v>
      </c>
      <c r="G118" s="317">
        <f>G26</f>
        <v>3</v>
      </c>
      <c r="I118" s="311" t="e">
        <f>ABS(G115-G118)</f>
        <v>#DIV/0!</v>
      </c>
      <c r="J118" s="56" t="s">
        <v>39</v>
      </c>
      <c r="K118" s="312">
        <f>G117*SQRT(2*G118)</f>
        <v>4.8989794855663558</v>
      </c>
    </row>
    <row r="119" spans="1:12" ht="35.1" customHeight="1" thickBot="1" x14ac:dyDescent="0.25">
      <c r="A119" s="314" t="s">
        <v>105</v>
      </c>
      <c r="B119" s="315" t="e">
        <f>1/C115</f>
        <v>#DIV/0!</v>
      </c>
      <c r="C119" s="325" t="s">
        <v>125</v>
      </c>
      <c r="D119" s="326"/>
      <c r="E119" s="320" t="e">
        <f>((D14*1000)^2)/6+E118</f>
        <v>#N/A</v>
      </c>
      <c r="F119" s="323" t="s">
        <v>63</v>
      </c>
      <c r="G119" s="186" t="e">
        <f>MAX(F100:J100)</f>
        <v>#DIV/0!</v>
      </c>
      <c r="H119" s="316">
        <f>'DATOS ° '!M8</f>
        <v>2</v>
      </c>
      <c r="I119" s="1182" t="e">
        <f>IF(I118&lt;=K118,"APROBADO","NO APROBADO")</f>
        <v>#DIV/0!</v>
      </c>
      <c r="J119" s="1183"/>
      <c r="K119" s="1184"/>
    </row>
    <row r="120" spans="1:12" ht="9.9499999999999993" customHeight="1" thickBot="1" x14ac:dyDescent="0.25"/>
    <row r="121" spans="1:12" ht="35.1" customHeight="1" thickBot="1" x14ac:dyDescent="0.25">
      <c r="A121" s="1045" t="s">
        <v>104</v>
      </c>
      <c r="B121" s="1046"/>
      <c r="C121" s="1046"/>
      <c r="D121" s="1046"/>
      <c r="E121" s="1046"/>
      <c r="F121" s="1046"/>
      <c r="G121" s="1046"/>
      <c r="H121" s="1046"/>
      <c r="I121" s="1046"/>
      <c r="J121" s="1046"/>
      <c r="K121" s="1046"/>
      <c r="L121" s="1047"/>
    </row>
    <row r="122" spans="1:12" ht="35.1" customHeight="1" x14ac:dyDescent="0.2">
      <c r="C122" s="330" t="s">
        <v>41</v>
      </c>
      <c r="D122" s="331" t="e">
        <f>SLOPE(E110:E114,G21:G25)</f>
        <v>#N/A</v>
      </c>
      <c r="E122" s="1039" t="s">
        <v>106</v>
      </c>
      <c r="F122" s="1040"/>
      <c r="G122" s="332" t="s">
        <v>71</v>
      </c>
      <c r="H122" s="333">
        <v>5</v>
      </c>
      <c r="I122" s="1"/>
      <c r="K122" s="1"/>
    </row>
    <row r="123" spans="1:12" ht="35.1" customHeight="1" thickBot="1" x14ac:dyDescent="0.25">
      <c r="C123" s="334" t="s">
        <v>42</v>
      </c>
      <c r="D123" s="227" t="e">
        <f>INTERCEPT(E110:E114,G21:G25)</f>
        <v>#N/A</v>
      </c>
      <c r="E123" s="1037" t="s">
        <v>107</v>
      </c>
      <c r="F123" s="1038"/>
      <c r="G123" s="335" t="s">
        <v>72</v>
      </c>
      <c r="H123" s="336" t="e">
        <f>D122*H122+D123</f>
        <v>#N/A</v>
      </c>
    </row>
    <row r="124" spans="1:12" ht="35.1" customHeight="1" thickBot="1" x14ac:dyDescent="0.25">
      <c r="L124" s="6"/>
    </row>
    <row r="125" spans="1:12" ht="35.1" customHeight="1" thickBot="1" x14ac:dyDescent="0.25">
      <c r="J125" s="189" t="s">
        <v>66</v>
      </c>
      <c r="K125" s="190" t="s">
        <v>325</v>
      </c>
    </row>
    <row r="126" spans="1:12" ht="35.1" customHeight="1" x14ac:dyDescent="0.2">
      <c r="J126" s="191" t="e">
        <f>G21</f>
        <v>#N/A</v>
      </c>
      <c r="K126" s="192" t="e">
        <f>E110</f>
        <v>#N/A</v>
      </c>
    </row>
    <row r="127" spans="1:12" ht="35.1" customHeight="1" x14ac:dyDescent="0.2">
      <c r="I127" s="14"/>
      <c r="J127" s="193" t="e">
        <f>G22</f>
        <v>#N/A</v>
      </c>
      <c r="K127" s="194" t="e">
        <f>E111</f>
        <v>#N/A</v>
      </c>
      <c r="L127" s="372"/>
    </row>
    <row r="128" spans="1:12" ht="35.1" customHeight="1" x14ac:dyDescent="0.2">
      <c r="I128" s="14"/>
      <c r="J128" s="193" t="e">
        <f>G23</f>
        <v>#N/A</v>
      </c>
      <c r="K128" s="194" t="e">
        <f>E112</f>
        <v>#N/A</v>
      </c>
    </row>
    <row r="129" spans="1:20" ht="35.1" customHeight="1" x14ac:dyDescent="0.2">
      <c r="I129" s="14"/>
      <c r="J129" s="193" t="e">
        <f>G24</f>
        <v>#N/A</v>
      </c>
      <c r="K129" s="194" t="e">
        <f>E113</f>
        <v>#N/A</v>
      </c>
    </row>
    <row r="130" spans="1:20" ht="35.1" customHeight="1" thickBot="1" x14ac:dyDescent="0.25">
      <c r="A130" s="57"/>
      <c r="I130" s="14"/>
      <c r="J130" s="195" t="e">
        <f>G25</f>
        <v>#N/A</v>
      </c>
      <c r="K130" s="196" t="e">
        <f>E114</f>
        <v>#N/A</v>
      </c>
    </row>
    <row r="131" spans="1:20" ht="35.1" customHeight="1" x14ac:dyDescent="0.2">
      <c r="A131" s="57"/>
      <c r="I131" s="14"/>
      <c r="J131" s="14"/>
      <c r="K131" s="14"/>
      <c r="L131" s="14"/>
    </row>
    <row r="132" spans="1:20" ht="9.9499999999999993" customHeight="1" thickBot="1" x14ac:dyDescent="0.25">
      <c r="A132" s="57"/>
      <c r="I132" s="58"/>
      <c r="J132" s="58"/>
      <c r="K132" s="58"/>
      <c r="L132" s="58"/>
    </row>
    <row r="133" spans="1:20" s="6" customFormat="1" ht="35.1" customHeight="1" thickBot="1" x14ac:dyDescent="0.25">
      <c r="B133" s="337" t="s">
        <v>126</v>
      </c>
      <c r="C133" s="338"/>
      <c r="D133" s="403" t="e">
        <f>B117*E118</f>
        <v>#DIV/0!</v>
      </c>
      <c r="E133" s="339" t="s">
        <v>67</v>
      </c>
      <c r="F133" s="338" t="s">
        <v>127</v>
      </c>
      <c r="G133" s="402" t="e">
        <f>B119</f>
        <v>#DIV/0!</v>
      </c>
      <c r="I133" s="14"/>
      <c r="J133" s="14"/>
      <c r="K133" s="14"/>
      <c r="L133" s="14"/>
      <c r="M133" s="1"/>
      <c r="N133" s="1"/>
      <c r="O133" s="1"/>
      <c r="P133" s="1"/>
      <c r="Q133" s="1"/>
      <c r="R133" s="1"/>
      <c r="S133" s="1"/>
      <c r="T133" s="1"/>
    </row>
    <row r="134" spans="1:20" s="6" customFormat="1" ht="9.9499999999999993" customHeight="1" thickBot="1" x14ac:dyDescent="0.25">
      <c r="A134" s="1"/>
      <c r="D134" s="59"/>
      <c r="E134" s="60"/>
      <c r="M134" s="1"/>
      <c r="N134" s="1"/>
      <c r="O134" s="1"/>
      <c r="P134" s="1"/>
      <c r="Q134" s="1"/>
      <c r="R134" s="1"/>
      <c r="S134" s="1"/>
      <c r="T134" s="1"/>
    </row>
    <row r="135" spans="1:20" ht="35.1" customHeight="1" thickBot="1" x14ac:dyDescent="0.25">
      <c r="A135" s="1041" t="s">
        <v>69</v>
      </c>
      <c r="B135" s="1042"/>
      <c r="C135" s="1042"/>
      <c r="D135" s="1042"/>
      <c r="E135" s="1042"/>
      <c r="F135" s="1043"/>
      <c r="G135" s="1042"/>
      <c r="H135" s="1042"/>
      <c r="I135" s="1042"/>
      <c r="J135" s="1042"/>
      <c r="K135" s="1042"/>
      <c r="L135" s="1044"/>
    </row>
    <row r="136" spans="1:20" ht="35.1" customHeight="1" x14ac:dyDescent="0.2">
      <c r="B136" s="1035" t="s">
        <v>64</v>
      </c>
      <c r="C136" s="1036"/>
      <c r="D136" s="1036"/>
      <c r="E136" s="340" t="s">
        <v>114</v>
      </c>
      <c r="F136" s="830" t="e">
        <f>B117</f>
        <v>#DIV/0!</v>
      </c>
      <c r="G136" s="397" t="s">
        <v>285</v>
      </c>
      <c r="H136" s="1"/>
      <c r="K136" s="1"/>
    </row>
    <row r="137" spans="1:20" ht="35.25" customHeight="1" thickBot="1" x14ac:dyDescent="0.25">
      <c r="B137" s="1033" t="s">
        <v>64</v>
      </c>
      <c r="C137" s="1034"/>
      <c r="D137" s="1034"/>
      <c r="E137" s="401" t="s">
        <v>286</v>
      </c>
      <c r="F137" s="830" t="e">
        <f>F136/1000</f>
        <v>#DIV/0!</v>
      </c>
      <c r="G137" s="398" t="s">
        <v>68</v>
      </c>
      <c r="H137" s="1"/>
      <c r="K137" s="1"/>
    </row>
    <row r="138" spans="1:20" ht="9.9499999999999993" customHeight="1" thickBot="1" x14ac:dyDescent="0.25">
      <c r="K138" s="1"/>
    </row>
    <row r="139" spans="1:20" ht="35.1" customHeight="1" x14ac:dyDescent="0.2">
      <c r="B139" s="1035" t="s">
        <v>65</v>
      </c>
      <c r="C139" s="1036"/>
      <c r="D139" s="1036"/>
      <c r="E139" s="381" t="s">
        <v>70</v>
      </c>
      <c r="F139" s="831" t="e">
        <f>D123*H119</f>
        <v>#N/A</v>
      </c>
      <c r="G139" s="341" t="s">
        <v>67</v>
      </c>
      <c r="H139" s="342" t="e">
        <f>D122*H119</f>
        <v>#N/A</v>
      </c>
      <c r="I139" s="395" t="s">
        <v>285</v>
      </c>
      <c r="J139" s="1"/>
      <c r="K139" s="1"/>
    </row>
    <row r="140" spans="1:20" ht="35.1" customHeight="1" thickBot="1" x14ac:dyDescent="0.25">
      <c r="B140" s="1156" t="s">
        <v>65</v>
      </c>
      <c r="C140" s="1157"/>
      <c r="D140" s="1157"/>
      <c r="E140" s="400" t="s">
        <v>276</v>
      </c>
      <c r="F140" s="831" t="e">
        <f>F139/1000</f>
        <v>#N/A</v>
      </c>
      <c r="G140" s="343" t="s">
        <v>67</v>
      </c>
      <c r="H140" s="696" t="e">
        <f>H139/1000</f>
        <v>#N/A</v>
      </c>
      <c r="I140" s="396" t="s">
        <v>68</v>
      </c>
      <c r="J140" s="1"/>
      <c r="K140" s="1"/>
    </row>
    <row r="141" spans="1:20" ht="15" customHeight="1" x14ac:dyDescent="0.2">
      <c r="J141" s="1"/>
      <c r="K141" s="1"/>
    </row>
    <row r="142" spans="1:20" ht="15" customHeight="1" x14ac:dyDescent="0.2">
      <c r="F142" s="829"/>
      <c r="H142" s="59"/>
    </row>
    <row r="143" spans="1:20" ht="15" customHeight="1" x14ac:dyDescent="0.2"/>
    <row r="144" spans="1:20" ht="15" customHeight="1" x14ac:dyDescent="0.2"/>
  </sheetData>
  <sheetProtection algorithmName="SHA-512" hashValue="GuukK3/kqiIW/sBsv1DRdpOdrXQfPRaqZoMfy9DIWDtg5PL9xnScfSuWZMFM6luEa/o+5ci/ofpNBD8jCFghCg==" saltValue="WgXXgvbEuGN1RXEa5ux72A==" spinCount="100000" sheet="1" objects="1" scenarios="1"/>
  <dataConsolidate>
    <dataRefs count="2">
      <dataRef ref="C5:D7" sheet="DATOS DE LOS PATRONES " r:id="rId1"/>
      <dataRef ref="K5:L7" sheet="DATOS DE LOS PATRONES " r:id="rId2"/>
    </dataRefs>
  </dataConsolidate>
  <mergeCells count="108">
    <mergeCell ref="N87:P87"/>
    <mergeCell ref="J5:J6"/>
    <mergeCell ref="A1:B3"/>
    <mergeCell ref="B53:E53"/>
    <mergeCell ref="A67:L67"/>
    <mergeCell ref="B42:J42"/>
    <mergeCell ref="B12:C12"/>
    <mergeCell ref="G9:J9"/>
    <mergeCell ref="I10:J10"/>
    <mergeCell ref="G10:H10"/>
    <mergeCell ref="B8:E8"/>
    <mergeCell ref="B9:C9"/>
    <mergeCell ref="B10:C10"/>
    <mergeCell ref="B11:C11"/>
    <mergeCell ref="G11:H11"/>
    <mergeCell ref="I11:J11"/>
    <mergeCell ref="I12:J12"/>
    <mergeCell ref="I13:J13"/>
    <mergeCell ref="I14:J14"/>
    <mergeCell ref="B27:K27"/>
    <mergeCell ref="G28:H28"/>
    <mergeCell ref="B29:C29"/>
    <mergeCell ref="B21:C23"/>
    <mergeCell ref="G12:H12"/>
    <mergeCell ref="B140:D140"/>
    <mergeCell ref="B13:C13"/>
    <mergeCell ref="G13:H13"/>
    <mergeCell ref="B14:C14"/>
    <mergeCell ref="A88:C88"/>
    <mergeCell ref="A87:C87"/>
    <mergeCell ref="B95:E95"/>
    <mergeCell ref="D89:E89"/>
    <mergeCell ref="D87:E87"/>
    <mergeCell ref="D88:E88"/>
    <mergeCell ref="F82:J82"/>
    <mergeCell ref="C80:E80"/>
    <mergeCell ref="C81:E81"/>
    <mergeCell ref="A80:B80"/>
    <mergeCell ref="A89:C89"/>
    <mergeCell ref="A79:B79"/>
    <mergeCell ref="C78:E78"/>
    <mergeCell ref="A78:B78"/>
    <mergeCell ref="B136:D136"/>
    <mergeCell ref="I119:K119"/>
    <mergeCell ref="K62:L62"/>
    <mergeCell ref="B104:D104"/>
    <mergeCell ref="C97:E97"/>
    <mergeCell ref="G14:H14"/>
    <mergeCell ref="I107:K107"/>
    <mergeCell ref="G108:G109"/>
    <mergeCell ref="A107:G107"/>
    <mergeCell ref="F99:J99"/>
    <mergeCell ref="B105:D105"/>
    <mergeCell ref="I108:K115"/>
    <mergeCell ref="B15:C15"/>
    <mergeCell ref="G15:H15"/>
    <mergeCell ref="I15:J15"/>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F86:J86"/>
    <mergeCell ref="B52:L52"/>
    <mergeCell ref="F29:G29"/>
    <mergeCell ref="B61:I61"/>
    <mergeCell ref="K64:L64"/>
    <mergeCell ref="F77:J77"/>
    <mergeCell ref="F69:J69"/>
    <mergeCell ref="B64:C64"/>
    <mergeCell ref="B65:C65"/>
    <mergeCell ref="A73:E73"/>
    <mergeCell ref="A74:E74"/>
    <mergeCell ref="A75:B75"/>
    <mergeCell ref="C1:P3"/>
    <mergeCell ref="B137:D137"/>
    <mergeCell ref="B139:D139"/>
    <mergeCell ref="E123:F123"/>
    <mergeCell ref="E122:F122"/>
    <mergeCell ref="A135:L135"/>
    <mergeCell ref="A121:L121"/>
    <mergeCell ref="G53:L53"/>
    <mergeCell ref="F85:J85"/>
    <mergeCell ref="B72:D72"/>
    <mergeCell ref="F102:H102"/>
    <mergeCell ref="F96:J96"/>
    <mergeCell ref="F91:J91"/>
    <mergeCell ref="A92:C92"/>
    <mergeCell ref="A93:C93"/>
    <mergeCell ref="A94:C94"/>
    <mergeCell ref="D92:E92"/>
    <mergeCell ref="D93:E93"/>
    <mergeCell ref="D94:E94"/>
    <mergeCell ref="C79:E79"/>
    <mergeCell ref="C76:E76"/>
    <mergeCell ref="C75:E75"/>
    <mergeCell ref="F72:J72"/>
    <mergeCell ref="B31:I31"/>
  </mergeCells>
  <conditionalFormatting sqref="I119">
    <cfRule type="cellIs" dxfId="0" priority="1" operator="greaterThan">
      <formula>$I$118</formula>
    </cfRule>
  </conditionalFormatting>
  <printOptions horizontalCentered="1"/>
  <pageMargins left="0.23622047244094491" right="0.23622047244094491" top="0.74803149606299213" bottom="0.74803149606299213" header="0.31496062992125984" footer="0.31496062992125984"/>
  <pageSetup scale="36" orientation="portrait" r:id="rId3"/>
  <headerFooter>
    <oddFooter>&amp;RRT03-F12 Vr.7 (2019-11-07)
Página &amp;P de 3</oddFooter>
  </headerFooter>
  <rowBreaks count="2" manualBreakCount="2">
    <brk id="50" max="16383" man="1"/>
    <brk id="97" max="15" man="1"/>
  </rowBreaks>
  <drawing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 '!$C$27:$C$88</xm:f>
          </x14:formula1>
          <xm:sqref>E24 K21:K24</xm:sqref>
        </x14:dataValidation>
        <x14:dataValidation type="list" allowBlank="1" showInputMessage="1" showErrorMessage="1">
          <x14:formula1>
            <xm:f>'DATOS ° '!$C$7:$C$9</xm:f>
          </x14:formula1>
          <xm:sqref>J5:J6</xm:sqref>
        </x14:dataValidation>
        <x14:dataValidation type="list" allowBlank="1" showInputMessage="1" showErrorMessage="1">
          <x14:formula1>
            <xm:f>'DATOS ° '!$C$16:$C$22</xm:f>
          </x14:formula1>
          <xm:sqref>F8</xm:sqref>
        </x14:dataValidation>
        <x14:dataValidation type="list" allowBlank="1" showInputMessage="1" showErrorMessage="1">
          <x14:formula1>
            <xm:f>'DATOS ° '!$B$27:$B$88</xm:f>
          </x14:formula1>
          <xm:sqref>K10</xm:sqref>
        </x14:dataValidation>
        <x14:dataValidation type="list" allowBlank="1" showInputMessage="1" showErrorMessage="1">
          <x14:formula1>
            <xm:f>'DATOS ° '!$K$27:$K$45</xm:f>
          </x14:formula1>
          <xm:sqref>E19</xm:sqref>
        </x14:dataValidation>
        <x14:dataValidation type="list" allowBlank="1" showInputMessage="1" showErrorMessage="1">
          <x14:formula1>
            <xm:f>'DATOS ° '!$L$27:$L$52</xm:f>
          </x14:formula1>
          <xm:sqref>D22:F22</xm:sqref>
        </x14:dataValidation>
        <x14:dataValidation type="list" allowBlank="1" showInputMessage="1" showErrorMessage="1">
          <x14:formula1>
            <xm:f>'DATOS ° '!$G$160:$G$165</xm:f>
          </x14:formula1>
          <xm:sqref>K28:K29</xm:sqref>
        </x14:dataValidation>
        <x14:dataValidation type="list" allowBlank="1" showInputMessage="1" showErrorMessage="1">
          <x14:formula1>
            <xm:f>'DATOS ° '!$A$156:$A$159</xm:f>
          </x14:formula1>
          <xm:sqref>K62:L62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94"/>
  <sheetViews>
    <sheetView showGridLines="0" tabSelected="1" showRuler="0" showWhiteSpace="0" view="pageBreakPreview" topLeftCell="A16" zoomScale="120" zoomScaleNormal="110" zoomScaleSheetLayoutView="120" zoomScalePageLayoutView="85" workbookViewId="0">
      <selection activeCell="A4" sqref="A4:C4"/>
    </sheetView>
  </sheetViews>
  <sheetFormatPr baseColWidth="10" defaultRowHeight="15" customHeight="1" x14ac:dyDescent="0.2"/>
  <cols>
    <col min="1" max="1" width="20.140625" style="584" customWidth="1"/>
    <col min="2" max="6" width="17.7109375" style="584" customWidth="1"/>
    <col min="7" max="16384" width="11.42578125" style="584"/>
  </cols>
  <sheetData>
    <row r="1" spans="1:6" ht="120" customHeight="1" x14ac:dyDescent="0.2">
      <c r="A1" s="1250"/>
      <c r="B1" s="1250"/>
      <c r="C1" s="1250"/>
      <c r="D1" s="1250"/>
      <c r="E1" s="1250"/>
      <c r="F1" s="1250"/>
    </row>
    <row r="2" spans="1:6" ht="18" customHeight="1" x14ac:dyDescent="0.2">
      <c r="A2" s="585"/>
      <c r="B2" s="585"/>
    </row>
    <row r="3" spans="1:6" ht="18" customHeight="1" x14ac:dyDescent="0.2">
      <c r="A3" s="585"/>
      <c r="B3" s="585"/>
      <c r="D3" s="1234" t="s">
        <v>308</v>
      </c>
      <c r="E3" s="1234"/>
      <c r="F3" s="586" t="e">
        <f>'RT03-F12 °'!I6</f>
        <v>#N/A</v>
      </c>
    </row>
    <row r="4" spans="1:6" ht="20.100000000000001" customHeight="1" x14ac:dyDescent="0.2">
      <c r="A4" s="1237" t="s">
        <v>74</v>
      </c>
      <c r="B4" s="1237"/>
      <c r="C4" s="1237"/>
    </row>
    <row r="5" spans="1:6" ht="12" customHeight="1" x14ac:dyDescent="0.2">
      <c r="A5" s="587"/>
      <c r="B5" s="588"/>
      <c r="C5" s="588"/>
      <c r="D5" s="588"/>
      <c r="E5" s="588"/>
      <c r="F5" s="588"/>
    </row>
    <row r="6" spans="1:6" ht="33.75" customHeight="1" x14ac:dyDescent="0.2">
      <c r="A6" s="1276" t="s">
        <v>294</v>
      </c>
      <c r="B6" s="1276"/>
      <c r="C6" s="1277" t="e">
        <f>'RT03-F12 °'!G6</f>
        <v>#N/A</v>
      </c>
      <c r="D6" s="1278"/>
      <c r="E6" s="1278"/>
      <c r="F6" s="1278"/>
    </row>
    <row r="7" spans="1:6" ht="20.100000000000001" customHeight="1" x14ac:dyDescent="0.2">
      <c r="A7" s="1273" t="s">
        <v>75</v>
      </c>
      <c r="B7" s="1273"/>
      <c r="C7" s="1279" t="e">
        <f>'RT03-F12 °'!H6</f>
        <v>#N/A</v>
      </c>
      <c r="D7" s="1279"/>
      <c r="E7" s="697"/>
      <c r="F7" s="697"/>
    </row>
    <row r="8" spans="1:6" ht="20.100000000000001" customHeight="1" x14ac:dyDescent="0.2">
      <c r="A8" s="1273" t="s">
        <v>76</v>
      </c>
      <c r="B8" s="1273"/>
      <c r="C8" s="1279" t="e">
        <f>'RT03-F12 °'!B6</f>
        <v>#N/A</v>
      </c>
      <c r="D8" s="1273"/>
      <c r="E8" s="698"/>
      <c r="F8" s="698"/>
    </row>
    <row r="9" spans="1:6" ht="15" customHeight="1" x14ac:dyDescent="0.2">
      <c r="A9" s="590"/>
      <c r="B9" s="590"/>
      <c r="C9" s="699"/>
      <c r="D9" s="590"/>
      <c r="E9" s="700"/>
      <c r="F9" s="700"/>
    </row>
    <row r="10" spans="1:6" ht="15" customHeight="1" x14ac:dyDescent="0.2">
      <c r="A10" s="1273" t="s">
        <v>77</v>
      </c>
      <c r="B10" s="1273"/>
      <c r="C10" s="701" t="e">
        <f>'RT03-F12 °'!C6</f>
        <v>#N/A</v>
      </c>
      <c r="D10" s="1274" t="s">
        <v>79</v>
      </c>
      <c r="E10" s="1274"/>
      <c r="F10" s="701" t="e">
        <f>'RT03-F12 °'!F6</f>
        <v>#N/A</v>
      </c>
    </row>
    <row r="11" spans="1:6" ht="15" customHeight="1" x14ac:dyDescent="0.2">
      <c r="A11" s="590"/>
      <c r="B11" s="590"/>
      <c r="C11" s="701"/>
      <c r="D11" s="702"/>
      <c r="E11" s="702"/>
      <c r="F11" s="701"/>
    </row>
    <row r="12" spans="1:6" ht="20.100000000000001" customHeight="1" x14ac:dyDescent="0.2">
      <c r="A12" s="1237" t="s">
        <v>340</v>
      </c>
      <c r="B12" s="1237"/>
      <c r="C12" s="1237"/>
      <c r="D12" s="1237"/>
      <c r="E12" s="1237"/>
      <c r="F12" s="1237"/>
    </row>
    <row r="13" spans="1:6" ht="12" customHeight="1" x14ac:dyDescent="0.2">
      <c r="A13" s="590"/>
      <c r="B13" s="590"/>
      <c r="C13" s="590"/>
      <c r="D13" s="590"/>
      <c r="E13" s="700"/>
      <c r="F13" s="700"/>
    </row>
    <row r="14" spans="1:6" ht="20.100000000000001" customHeight="1" x14ac:dyDescent="0.2">
      <c r="A14" s="367" t="s">
        <v>369</v>
      </c>
      <c r="B14" s="367"/>
      <c r="C14" s="1283" t="s">
        <v>341</v>
      </c>
      <c r="D14" s="1283"/>
      <c r="E14" s="700"/>
      <c r="F14" s="700"/>
    </row>
    <row r="15" spans="1:6" ht="20.100000000000001" customHeight="1" x14ac:dyDescent="0.2">
      <c r="A15" s="367" t="s">
        <v>370</v>
      </c>
      <c r="B15" s="367"/>
      <c r="C15" s="1273" t="e">
        <f>'RT03-F12 °'!D9</f>
        <v>#N/A</v>
      </c>
      <c r="D15" s="1273"/>
      <c r="E15" s="700"/>
      <c r="F15" s="700"/>
    </row>
    <row r="16" spans="1:6" ht="20.100000000000001" customHeight="1" x14ac:dyDescent="0.2">
      <c r="A16" s="1273" t="s">
        <v>371</v>
      </c>
      <c r="B16" s="1273"/>
      <c r="C16" s="1275" t="e">
        <f>'RT03-F12 °'!D11</f>
        <v>#N/A</v>
      </c>
      <c r="D16" s="1275"/>
      <c r="E16" s="1275"/>
      <c r="F16" s="1275"/>
    </row>
    <row r="17" spans="1:6" ht="20.100000000000001" customHeight="1" x14ac:dyDescent="0.2">
      <c r="A17" s="367" t="s">
        <v>372</v>
      </c>
      <c r="B17" s="367"/>
      <c r="C17" s="1273" t="e">
        <f>'RT03-F12 °'!D10</f>
        <v>#N/A</v>
      </c>
      <c r="D17" s="1273"/>
      <c r="E17" s="700"/>
      <c r="F17" s="700"/>
    </row>
    <row r="18" spans="1:6" ht="20.100000000000001" customHeight="1" x14ac:dyDescent="0.2">
      <c r="A18" s="1273" t="s">
        <v>373</v>
      </c>
      <c r="B18" s="1273"/>
      <c r="C18" s="703" t="e">
        <f>'RT03-F12 °'!D12</f>
        <v>#N/A</v>
      </c>
      <c r="D18" s="590"/>
      <c r="E18" s="692"/>
      <c r="F18" s="590"/>
    </row>
    <row r="19" spans="1:6" ht="20.100000000000001" customHeight="1" x14ac:dyDescent="0.2">
      <c r="A19" s="1249" t="s">
        <v>374</v>
      </c>
      <c r="B19" s="1249"/>
      <c r="C19" s="592" t="e">
        <f>'RT03-F12 °'!D13</f>
        <v>#N/A</v>
      </c>
      <c r="D19" s="589"/>
      <c r="E19" s="589"/>
      <c r="F19" s="589"/>
    </row>
    <row r="20" spans="1:6" ht="20.100000000000001" customHeight="1" x14ac:dyDescent="0.2">
      <c r="A20" s="1249" t="s">
        <v>375</v>
      </c>
      <c r="B20" s="1249"/>
      <c r="C20" s="593" t="e">
        <f>'RT03-F12 °'!D14</f>
        <v>#N/A</v>
      </c>
      <c r="D20" s="589"/>
      <c r="E20" s="589"/>
      <c r="F20" s="589"/>
    </row>
    <row r="21" spans="1:6" ht="20.100000000000001" customHeight="1" x14ac:dyDescent="0.2">
      <c r="A21" s="1249" t="s">
        <v>376</v>
      </c>
      <c r="B21" s="1249"/>
      <c r="C21" s="592" t="e">
        <f>'RT03-F12 °'!D15</f>
        <v>#N/A</v>
      </c>
      <c r="D21" s="589"/>
      <c r="E21" s="589"/>
      <c r="F21" s="589"/>
    </row>
    <row r="22" spans="1:6" ht="12" customHeight="1" x14ac:dyDescent="0.2"/>
    <row r="23" spans="1:6" ht="20.100000000000001" customHeight="1" x14ac:dyDescent="0.2">
      <c r="A23" s="1237" t="s">
        <v>342</v>
      </c>
      <c r="B23" s="1237"/>
      <c r="C23" s="1237"/>
      <c r="D23" s="1237"/>
      <c r="E23" s="1237"/>
      <c r="F23" s="1237"/>
    </row>
    <row r="24" spans="1:6" ht="12" customHeight="1" x14ac:dyDescent="0.2">
      <c r="A24" s="594"/>
      <c r="B24" s="594"/>
      <c r="C24" s="594"/>
      <c r="D24" s="594"/>
      <c r="E24" s="594"/>
      <c r="F24" s="594"/>
    </row>
    <row r="25" spans="1:6" ht="15" customHeight="1" x14ac:dyDescent="0.2">
      <c r="A25" s="1226" t="e">
        <f>'RT03-F12 °'!E6</f>
        <v>#N/A</v>
      </c>
      <c r="B25" s="1226"/>
      <c r="C25" s="1226"/>
      <c r="D25" s="1226"/>
      <c r="E25" s="1226"/>
      <c r="F25" s="1226"/>
    </row>
    <row r="26" spans="1:6" ht="12" customHeight="1" x14ac:dyDescent="0.2">
      <c r="A26" s="595"/>
      <c r="B26" s="588"/>
      <c r="C26" s="595"/>
      <c r="D26" s="588"/>
      <c r="E26" s="596"/>
      <c r="F26" s="596"/>
    </row>
    <row r="27" spans="1:6" ht="20.100000000000001" customHeight="1" x14ac:dyDescent="0.2">
      <c r="A27" s="1237" t="s">
        <v>343</v>
      </c>
      <c r="B27" s="1237"/>
      <c r="C27" s="1284" t="e">
        <f>'RT03-F12 °'!D6</f>
        <v>#N/A</v>
      </c>
      <c r="D27" s="1284"/>
      <c r="E27" s="1284"/>
      <c r="F27" s="596"/>
    </row>
    <row r="28" spans="1:6" ht="12" customHeight="1" x14ac:dyDescent="0.2">
      <c r="D28" s="597"/>
      <c r="E28" s="588"/>
      <c r="F28" s="588"/>
    </row>
    <row r="29" spans="1:6" ht="20.100000000000001" customHeight="1" x14ac:dyDescent="0.2">
      <c r="A29" s="1260" t="s">
        <v>344</v>
      </c>
      <c r="B29" s="1260"/>
      <c r="C29" s="1260"/>
      <c r="D29" s="1260"/>
      <c r="E29" s="1260"/>
      <c r="F29" s="1260"/>
    </row>
    <row r="30" spans="1:6" ht="15" customHeight="1" x14ac:dyDescent="0.2">
      <c r="A30" s="598"/>
      <c r="B30" s="598"/>
      <c r="C30" s="598"/>
      <c r="D30" s="597"/>
      <c r="E30" s="588"/>
      <c r="F30" s="588"/>
    </row>
    <row r="31" spans="1:6" ht="12" customHeight="1" x14ac:dyDescent="0.2">
      <c r="A31" s="1272" t="s">
        <v>409</v>
      </c>
      <c r="B31" s="1272"/>
      <c r="C31" s="1272"/>
      <c r="D31" s="1272"/>
      <c r="E31" s="1272"/>
      <c r="F31" s="1272"/>
    </row>
    <row r="32" spans="1:6" ht="25.5" customHeight="1" x14ac:dyDescent="0.2">
      <c r="A32" s="1272"/>
      <c r="B32" s="1272"/>
      <c r="C32" s="1272"/>
      <c r="D32" s="1272"/>
      <c r="E32" s="1272"/>
      <c r="F32" s="1272"/>
    </row>
    <row r="33" spans="1:6" ht="15" customHeight="1" x14ac:dyDescent="0.2">
      <c r="A33" s="591"/>
      <c r="B33" s="591"/>
      <c r="C33" s="591"/>
      <c r="D33" s="591"/>
      <c r="E33" s="591"/>
      <c r="F33" s="591"/>
    </row>
    <row r="34" spans="1:6" ht="20.100000000000001" customHeight="1" x14ac:dyDescent="0.2">
      <c r="A34" s="1237" t="s">
        <v>345</v>
      </c>
      <c r="B34" s="1237"/>
      <c r="C34" s="1237"/>
      <c r="D34" s="1237"/>
      <c r="E34" s="588"/>
      <c r="F34" s="588"/>
    </row>
    <row r="35" spans="1:6" ht="15" customHeight="1" thickBot="1" x14ac:dyDescent="0.25">
      <c r="A35" s="599"/>
      <c r="B35" s="599"/>
      <c r="C35" s="599"/>
      <c r="D35" s="588"/>
      <c r="E35" s="588"/>
      <c r="F35" s="588"/>
    </row>
    <row r="36" spans="1:6" ht="39" customHeight="1" thickBot="1" x14ac:dyDescent="0.25">
      <c r="A36" s="600" t="s">
        <v>80</v>
      </c>
      <c r="B36" s="601" t="s">
        <v>81</v>
      </c>
      <c r="C36" s="601" t="s">
        <v>82</v>
      </c>
      <c r="D36" s="588"/>
      <c r="E36" s="588"/>
      <c r="F36" s="588"/>
    </row>
    <row r="37" spans="1:6" ht="30" customHeight="1" thickBot="1" x14ac:dyDescent="0.25">
      <c r="A37" s="602" t="e">
        <f>'RT03-F12 °'!E65</f>
        <v>#N/A</v>
      </c>
      <c r="B37" s="603" t="e">
        <f>'RT03-F12 °'!G65</f>
        <v>#N/A</v>
      </c>
      <c r="C37" s="603" t="e">
        <f>'RT03-F12 °'!I65</f>
        <v>#N/A</v>
      </c>
      <c r="D37" s="588"/>
      <c r="E37" s="588"/>
      <c r="F37" s="588"/>
    </row>
    <row r="38" spans="1:6" ht="15" customHeight="1" x14ac:dyDescent="0.2">
      <c r="A38" s="1261" t="s">
        <v>410</v>
      </c>
      <c r="B38" s="1261"/>
      <c r="C38" s="1261"/>
      <c r="D38" s="1261"/>
      <c r="E38" s="1261"/>
      <c r="F38" s="1261"/>
    </row>
    <row r="39" spans="1:6" ht="120" customHeight="1" x14ac:dyDescent="0.2">
      <c r="A39" s="1254"/>
      <c r="B39" s="1254"/>
      <c r="C39" s="1254"/>
      <c r="D39" s="1254"/>
      <c r="E39" s="1254"/>
      <c r="F39" s="1254"/>
    </row>
    <row r="40" spans="1:6" ht="18" customHeight="1" x14ac:dyDescent="0.2">
      <c r="A40" s="599"/>
      <c r="B40" s="599"/>
      <c r="C40" s="599"/>
    </row>
    <row r="41" spans="1:6" ht="18" customHeight="1" x14ac:dyDescent="0.2">
      <c r="A41" s="599"/>
      <c r="B41" s="599"/>
      <c r="C41" s="599"/>
      <c r="D41" s="1234" t="s">
        <v>308</v>
      </c>
      <c r="E41" s="1234"/>
      <c r="F41" s="586" t="e">
        <f>F3</f>
        <v>#N/A</v>
      </c>
    </row>
    <row r="42" spans="1:6" ht="20.100000000000001" customHeight="1" x14ac:dyDescent="0.2">
      <c r="A42" s="1255" t="s">
        <v>360</v>
      </c>
      <c r="B42" s="1255"/>
      <c r="C42" s="1255"/>
      <c r="D42" s="1255"/>
      <c r="E42" s="1255"/>
      <c r="F42" s="1255"/>
    </row>
    <row r="43" spans="1:6" ht="12" customHeight="1" x14ac:dyDescent="0.2">
      <c r="A43" s="604"/>
      <c r="B43" s="604"/>
      <c r="C43" s="604"/>
      <c r="D43" s="604"/>
      <c r="E43" s="604"/>
      <c r="F43" s="604"/>
    </row>
    <row r="44" spans="1:6" ht="60" customHeight="1" x14ac:dyDescent="0.2">
      <c r="A44" s="1281" t="s">
        <v>346</v>
      </c>
      <c r="B44" s="1281"/>
      <c r="C44" s="1281"/>
      <c r="D44" s="1281"/>
      <c r="E44" s="1281"/>
      <c r="F44" s="1281"/>
    </row>
    <row r="45" spans="1:6" ht="12" customHeight="1" thickBot="1" x14ac:dyDescent="0.25">
      <c r="A45" s="605"/>
      <c r="B45" s="605"/>
      <c r="C45" s="605"/>
      <c r="D45" s="605"/>
      <c r="E45" s="605"/>
      <c r="F45" s="605"/>
    </row>
    <row r="46" spans="1:6" ht="27.95" customHeight="1" thickBot="1" x14ac:dyDescent="0.25">
      <c r="A46" s="1262" t="s">
        <v>362</v>
      </c>
      <c r="B46" s="1263"/>
      <c r="C46" s="1266" t="e">
        <f>'RT03-F12 °'!I12</f>
        <v>#N/A</v>
      </c>
      <c r="D46" s="1267"/>
      <c r="E46" s="599"/>
      <c r="F46" s="599"/>
    </row>
    <row r="47" spans="1:6" ht="27.95" customHeight="1" thickBot="1" x14ac:dyDescent="0.25">
      <c r="A47" s="1258" t="s">
        <v>361</v>
      </c>
      <c r="B47" s="1259"/>
      <c r="C47" s="1256" t="s">
        <v>402</v>
      </c>
      <c r="D47" s="1257"/>
      <c r="E47" s="588"/>
      <c r="F47" s="588"/>
    </row>
    <row r="48" spans="1:6" ht="27.95" customHeight="1" thickBot="1" x14ac:dyDescent="0.25">
      <c r="A48" s="1258" t="s">
        <v>367</v>
      </c>
      <c r="B48" s="1259"/>
      <c r="C48" s="1268" t="e">
        <f>'RT03-F12 °'!I13</f>
        <v>#N/A</v>
      </c>
      <c r="D48" s="1269"/>
      <c r="E48" s="588"/>
      <c r="F48" s="588"/>
    </row>
    <row r="49" spans="1:6" ht="27.95" customHeight="1" thickBot="1" x14ac:dyDescent="0.25">
      <c r="A49" s="1264" t="s">
        <v>216</v>
      </c>
      <c r="B49" s="1265"/>
      <c r="C49" s="1270" t="e">
        <f>'RT03-F12 °'!I14</f>
        <v>#N/A</v>
      </c>
      <c r="D49" s="1271"/>
      <c r="E49" s="588"/>
      <c r="F49" s="588"/>
    </row>
    <row r="50" spans="1:6" ht="27.95" customHeight="1" thickBot="1" x14ac:dyDescent="0.25">
      <c r="A50" s="1258" t="s">
        <v>363</v>
      </c>
      <c r="B50" s="1259"/>
      <c r="C50" s="1256" t="s">
        <v>405</v>
      </c>
      <c r="D50" s="1257"/>
      <c r="E50" s="588"/>
      <c r="F50" s="588"/>
    </row>
    <row r="51" spans="1:6" ht="20.100000000000001" customHeight="1" x14ac:dyDescent="0.2">
      <c r="A51" s="597"/>
      <c r="B51" s="597"/>
      <c r="C51" s="597"/>
      <c r="D51" s="588"/>
      <c r="E51" s="588"/>
      <c r="F51" s="588"/>
    </row>
    <row r="52" spans="1:6" ht="20.100000000000001" customHeight="1" x14ac:dyDescent="0.2">
      <c r="A52" s="1255" t="s">
        <v>347</v>
      </c>
      <c r="B52" s="1255"/>
      <c r="C52" s="1255"/>
      <c r="D52" s="1255"/>
      <c r="E52" s="1255"/>
      <c r="F52" s="1255"/>
    </row>
    <row r="53" spans="1:6" ht="12" customHeight="1" x14ac:dyDescent="0.2">
      <c r="A53" s="599"/>
      <c r="B53" s="599"/>
      <c r="C53" s="599"/>
      <c r="D53" s="599"/>
      <c r="E53" s="599"/>
      <c r="F53" s="599"/>
    </row>
    <row r="54" spans="1:6" ht="20.100000000000001" customHeight="1" x14ac:dyDescent="0.2">
      <c r="A54" s="1229" t="s">
        <v>85</v>
      </c>
      <c r="B54" s="1229"/>
      <c r="C54" s="1229"/>
      <c r="D54" s="599"/>
      <c r="E54" s="599"/>
      <c r="F54" s="599"/>
    </row>
    <row r="55" spans="1:6" ht="12" customHeight="1" thickBot="1" x14ac:dyDescent="0.25">
      <c r="A55" s="599"/>
      <c r="B55" s="599"/>
      <c r="C55" s="599"/>
      <c r="D55" s="588"/>
      <c r="E55" s="588"/>
      <c r="F55" s="588"/>
    </row>
    <row r="56" spans="1:6" ht="27.95" customHeight="1" thickBot="1" x14ac:dyDescent="0.25">
      <c r="A56" s="1240" t="s">
        <v>302</v>
      </c>
      <c r="B56" s="1241"/>
      <c r="C56" s="1242"/>
      <c r="D56" s="599"/>
      <c r="E56" s="599"/>
      <c r="F56" s="599"/>
    </row>
    <row r="57" spans="1:6" ht="27.95" customHeight="1" thickBot="1" x14ac:dyDescent="0.25">
      <c r="A57" s="606" t="str">
        <f>'RT03-F12 °'!C34</f>
        <v>Carga</v>
      </c>
      <c r="B57" s="607">
        <f>'RT03-F12 °'!E34</f>
        <v>0</v>
      </c>
      <c r="C57" s="608" t="str">
        <f>'RT03-F12 °'!D34</f>
        <v>(g)</v>
      </c>
      <c r="D57" s="599"/>
      <c r="E57" s="609" t="s">
        <v>84</v>
      </c>
      <c r="F57" s="599"/>
    </row>
    <row r="58" spans="1:6" ht="27.95" customHeight="1" thickBot="1" x14ac:dyDescent="0.25">
      <c r="A58" s="610" t="str">
        <f>'RT03-F12 °'!B35</f>
        <v>Posición</v>
      </c>
      <c r="B58" s="611" t="str">
        <f>'RT03-F12 °'!B36</f>
        <v>Indicación (g)</v>
      </c>
      <c r="C58" s="612" t="s">
        <v>128</v>
      </c>
      <c r="D58" s="599"/>
      <c r="E58" s="599"/>
      <c r="F58" s="599"/>
    </row>
    <row r="59" spans="1:6" ht="27.95" customHeight="1" x14ac:dyDescent="0.2">
      <c r="A59" s="613">
        <f>'RT03-F12 °'!C35</f>
        <v>1</v>
      </c>
      <c r="B59" s="614">
        <f>'RT03-F12 °'!C36</f>
        <v>0</v>
      </c>
      <c r="C59" s="615">
        <f>'RT03-F12 °'!C37</f>
        <v>0</v>
      </c>
      <c r="D59" s="599"/>
      <c r="F59" s="599"/>
    </row>
    <row r="60" spans="1:6" ht="27.95" customHeight="1" x14ac:dyDescent="0.2">
      <c r="A60" s="616">
        <f>'RT03-F12 °'!D35</f>
        <v>2</v>
      </c>
      <c r="B60" s="617">
        <f>'RT03-F12 °'!D36</f>
        <v>0</v>
      </c>
      <c r="C60" s="618">
        <f>'RT03-F12 °'!D37</f>
        <v>0</v>
      </c>
      <c r="D60" s="599"/>
      <c r="E60" s="599"/>
      <c r="F60" s="599"/>
    </row>
    <row r="61" spans="1:6" ht="27.95" customHeight="1" x14ac:dyDescent="0.2">
      <c r="A61" s="616">
        <f>'RT03-F12 °'!E35</f>
        <v>3</v>
      </c>
      <c r="B61" s="619">
        <f>'RT03-F12 °'!E36</f>
        <v>0</v>
      </c>
      <c r="C61" s="618">
        <f>'RT03-F12 °'!E37</f>
        <v>0</v>
      </c>
      <c r="D61" s="599"/>
      <c r="E61" s="599"/>
      <c r="F61" s="599"/>
    </row>
    <row r="62" spans="1:6" ht="27.95" customHeight="1" x14ac:dyDescent="0.2">
      <c r="A62" s="616">
        <f>'RT03-F12 °'!F35</f>
        <v>4</v>
      </c>
      <c r="B62" s="619">
        <f>'RT03-F12 °'!F36</f>
        <v>0</v>
      </c>
      <c r="C62" s="618">
        <f>'RT03-F12 °'!F37</f>
        <v>0</v>
      </c>
      <c r="D62" s="599"/>
      <c r="E62" s="599"/>
      <c r="F62" s="599"/>
    </row>
    <row r="63" spans="1:6" ht="27.95" customHeight="1" thickBot="1" x14ac:dyDescent="0.25">
      <c r="A63" s="620">
        <f>'RT03-F12 °'!G35</f>
        <v>5</v>
      </c>
      <c r="B63" s="617">
        <f>'RT03-F12 °'!G36</f>
        <v>0</v>
      </c>
      <c r="C63" s="621">
        <f>'RT03-F12 °'!G37</f>
        <v>0</v>
      </c>
      <c r="D63" s="599"/>
      <c r="E63" s="599"/>
      <c r="F63" s="599"/>
    </row>
    <row r="64" spans="1:6" ht="27.95" customHeight="1" thickBot="1" x14ac:dyDescent="0.25">
      <c r="A64" s="1238" t="s">
        <v>348</v>
      </c>
      <c r="B64" s="1239"/>
      <c r="C64" s="622">
        <f>'RT03-F12 °'!C39/1000</f>
        <v>0</v>
      </c>
      <c r="D64" s="599"/>
      <c r="E64" s="599"/>
      <c r="F64" s="599"/>
    </row>
    <row r="65" spans="1:6" ht="12" customHeight="1" x14ac:dyDescent="0.2">
      <c r="A65" s="597"/>
      <c r="B65" s="623"/>
      <c r="C65" s="624"/>
      <c r="D65" s="599"/>
      <c r="E65" s="599"/>
      <c r="F65" s="599"/>
    </row>
    <row r="66" spans="1:6" ht="20.100000000000001" customHeight="1" x14ac:dyDescent="0.2">
      <c r="A66" s="1228" t="s">
        <v>404</v>
      </c>
      <c r="B66" s="1228"/>
      <c r="C66" s="1228"/>
      <c r="D66" s="1228"/>
      <c r="E66" s="1228"/>
      <c r="F66" s="1228"/>
    </row>
    <row r="67" spans="1:6" ht="20.100000000000001" customHeight="1" x14ac:dyDescent="0.2">
      <c r="A67" s="1228"/>
      <c r="B67" s="1228"/>
      <c r="C67" s="1228"/>
      <c r="D67" s="1228"/>
      <c r="E67" s="1228"/>
      <c r="F67" s="1228"/>
    </row>
    <row r="68" spans="1:6" ht="20.100000000000001" customHeight="1" x14ac:dyDescent="0.2">
      <c r="A68" s="1228"/>
      <c r="B68" s="1228"/>
      <c r="C68" s="1228"/>
      <c r="D68" s="1228"/>
      <c r="E68" s="1228"/>
      <c r="F68" s="1228"/>
    </row>
    <row r="69" spans="1:6" ht="20.100000000000001" customHeight="1" x14ac:dyDescent="0.2">
      <c r="A69" s="625"/>
      <c r="B69" s="625"/>
      <c r="C69" s="625"/>
      <c r="D69" s="625"/>
      <c r="E69" s="625"/>
      <c r="F69" s="625"/>
    </row>
    <row r="70" spans="1:6" ht="120" customHeight="1" x14ac:dyDescent="0.2">
      <c r="A70" s="1282"/>
      <c r="B70" s="1282"/>
      <c r="C70" s="1282"/>
      <c r="D70" s="1282"/>
      <c r="E70" s="1282"/>
      <c r="F70" s="1282"/>
    </row>
    <row r="71" spans="1:6" ht="12" customHeight="1" x14ac:dyDescent="0.2">
      <c r="A71" s="626"/>
      <c r="B71" s="626"/>
      <c r="C71" s="626"/>
      <c r="D71" s="626"/>
      <c r="E71" s="626"/>
      <c r="F71" s="626"/>
    </row>
    <row r="72" spans="1:6" ht="18" customHeight="1" x14ac:dyDescent="0.2">
      <c r="A72" s="625"/>
      <c r="B72" s="625"/>
      <c r="C72" s="625"/>
      <c r="D72" s="1234" t="s">
        <v>308</v>
      </c>
      <c r="E72" s="1234"/>
      <c r="F72" s="586" t="e">
        <f>F3</f>
        <v>#N/A</v>
      </c>
    </row>
    <row r="73" spans="1:6" ht="15" customHeight="1" x14ac:dyDescent="0.2">
      <c r="A73" s="1229" t="s">
        <v>87</v>
      </c>
      <c r="B73" s="1229"/>
      <c r="E73" s="597"/>
      <c r="F73" s="597"/>
    </row>
    <row r="74" spans="1:6" ht="12" customHeight="1" thickBot="1" x14ac:dyDescent="0.25">
      <c r="E74" s="597"/>
    </row>
    <row r="75" spans="1:6" ht="15" customHeight="1" thickBot="1" x14ac:dyDescent="0.25">
      <c r="A75" s="1230" t="s">
        <v>303</v>
      </c>
      <c r="B75" s="1231"/>
      <c r="C75" s="1231"/>
      <c r="D75" s="1232"/>
      <c r="E75" s="597"/>
      <c r="F75" s="597"/>
    </row>
    <row r="76" spans="1:6" ht="20.100000000000001" customHeight="1" thickBot="1" x14ac:dyDescent="0.25">
      <c r="A76" s="627" t="str">
        <f>'RT03-F12 °'!A43</f>
        <v>Cargas (g)</v>
      </c>
      <c r="B76" s="628">
        <f>'RT03-F12 °'!A44</f>
        <v>0</v>
      </c>
      <c r="C76" s="628">
        <f>'RT03-F12 °'!A45</f>
        <v>0</v>
      </c>
      <c r="D76" s="629">
        <f>'RT03-F12 °'!A46</f>
        <v>0</v>
      </c>
      <c r="E76" s="597"/>
      <c r="F76" s="597"/>
    </row>
    <row r="77" spans="1:6" ht="30" customHeight="1" thickBot="1" x14ac:dyDescent="0.25">
      <c r="A77" s="630" t="s">
        <v>307</v>
      </c>
      <c r="B77" s="630" t="s">
        <v>86</v>
      </c>
      <c r="C77" s="630" t="s">
        <v>86</v>
      </c>
      <c r="D77" s="630" t="s">
        <v>86</v>
      </c>
      <c r="E77" s="597"/>
      <c r="F77" s="597"/>
    </row>
    <row r="78" spans="1:6" ht="18.95" customHeight="1" x14ac:dyDescent="0.2">
      <c r="A78" s="613">
        <f>'RT03-F12 °'!B43</f>
        <v>1</v>
      </c>
      <c r="B78" s="614">
        <f>'RT03-F12 °'!B44</f>
        <v>0</v>
      </c>
      <c r="C78" s="614">
        <f>'RT03-F12 °'!B45</f>
        <v>0</v>
      </c>
      <c r="D78" s="631">
        <f>'RT03-F12 °'!B46</f>
        <v>0</v>
      </c>
      <c r="E78" s="597"/>
      <c r="F78" s="597"/>
    </row>
    <row r="79" spans="1:6" ht="18.95" customHeight="1" x14ac:dyDescent="0.2">
      <c r="A79" s="616">
        <f>'RT03-F12 °'!C43</f>
        <v>2</v>
      </c>
      <c r="B79" s="619">
        <f>'RT03-F12 °'!C44</f>
        <v>0</v>
      </c>
      <c r="C79" s="619">
        <f>'RT03-F12 °'!C45</f>
        <v>0</v>
      </c>
      <c r="D79" s="632">
        <f>'RT03-F12 °'!C46</f>
        <v>0</v>
      </c>
      <c r="E79" s="597"/>
      <c r="F79" s="597"/>
    </row>
    <row r="80" spans="1:6" ht="18.95" customHeight="1" x14ac:dyDescent="0.2">
      <c r="A80" s="616">
        <f>'RT03-F12 °'!D43</f>
        <v>3</v>
      </c>
      <c r="B80" s="619">
        <f>'RT03-F12 °'!D44</f>
        <v>0</v>
      </c>
      <c r="C80" s="619">
        <f>'RT03-F12 °'!D45</f>
        <v>0</v>
      </c>
      <c r="D80" s="632">
        <f>'RT03-F12 °'!D46</f>
        <v>0</v>
      </c>
      <c r="E80" s="597"/>
      <c r="F80" s="597"/>
    </row>
    <row r="81" spans="1:6" ht="18.95" customHeight="1" x14ac:dyDescent="0.2">
      <c r="A81" s="616">
        <f>'RT03-F12 °'!E43</f>
        <v>4</v>
      </c>
      <c r="B81" s="619">
        <f>'RT03-F12 °'!E44</f>
        <v>0</v>
      </c>
      <c r="C81" s="619">
        <f>'RT03-F12 °'!E45</f>
        <v>0</v>
      </c>
      <c r="D81" s="632">
        <f>'RT03-F12 °'!E46</f>
        <v>0</v>
      </c>
      <c r="E81" s="597"/>
      <c r="F81" s="597"/>
    </row>
    <row r="82" spans="1:6" ht="18.95" customHeight="1" x14ac:dyDescent="0.2">
      <c r="A82" s="616">
        <f>'RT03-F12 °'!F43</f>
        <v>5</v>
      </c>
      <c r="B82" s="619">
        <f>'RT03-F12 °'!F44</f>
        <v>0</v>
      </c>
      <c r="C82" s="619">
        <f>'RT03-F12 °'!F45</f>
        <v>0</v>
      </c>
      <c r="D82" s="632">
        <f>'RT03-F12 °'!F46</f>
        <v>0</v>
      </c>
      <c r="E82" s="597"/>
      <c r="F82" s="597"/>
    </row>
    <row r="83" spans="1:6" ht="18.95" customHeight="1" x14ac:dyDescent="0.2">
      <c r="A83" s="616">
        <f>'RT03-F12 °'!G43</f>
        <v>6</v>
      </c>
      <c r="B83" s="619">
        <f>'RT03-F12 °'!G44</f>
        <v>0</v>
      </c>
      <c r="C83" s="619">
        <f>'RT03-F12 °'!G45</f>
        <v>0</v>
      </c>
      <c r="D83" s="632">
        <f>'RT03-F12 °'!G46</f>
        <v>0</v>
      </c>
      <c r="E83" s="597"/>
      <c r="F83" s="597"/>
    </row>
    <row r="84" spans="1:6" ht="18.95" customHeight="1" x14ac:dyDescent="0.2">
      <c r="A84" s="616">
        <f>'RT03-F12 °'!H43</f>
        <v>7</v>
      </c>
      <c r="B84" s="619">
        <f>'RT03-F12 °'!H44</f>
        <v>0</v>
      </c>
      <c r="C84" s="619">
        <f>'RT03-F12 °'!H45</f>
        <v>0</v>
      </c>
      <c r="D84" s="632">
        <f>'RT03-F12 °'!H46</f>
        <v>0</v>
      </c>
      <c r="E84" s="597"/>
      <c r="F84" s="597"/>
    </row>
    <row r="85" spans="1:6" ht="18.95" customHeight="1" x14ac:dyDescent="0.2">
      <c r="A85" s="616">
        <f>'RT03-F12 °'!I43</f>
        <v>8</v>
      </c>
      <c r="B85" s="619">
        <f>'RT03-F12 °'!I44</f>
        <v>0</v>
      </c>
      <c r="C85" s="619">
        <f>'RT03-F12 °'!I45</f>
        <v>0</v>
      </c>
      <c r="D85" s="632">
        <f>'RT03-F12 °'!I46</f>
        <v>0</v>
      </c>
      <c r="E85" s="597"/>
      <c r="F85" s="597"/>
    </row>
    <row r="86" spans="1:6" ht="18.95" customHeight="1" x14ac:dyDescent="0.2">
      <c r="A86" s="616">
        <f>'RT03-F12 °'!J43</f>
        <v>9</v>
      </c>
      <c r="B86" s="619">
        <f>'RT03-F12 °'!J44</f>
        <v>0</v>
      </c>
      <c r="C86" s="619">
        <f>'RT03-F12 °'!J45</f>
        <v>0</v>
      </c>
      <c r="D86" s="632">
        <f>'RT03-F12 °'!J46</f>
        <v>0</v>
      </c>
      <c r="E86" s="597"/>
      <c r="F86" s="597"/>
    </row>
    <row r="87" spans="1:6" ht="18.95" customHeight="1" thickBot="1" x14ac:dyDescent="0.25">
      <c r="A87" s="633">
        <f>'RT03-F12 °'!K43</f>
        <v>10</v>
      </c>
      <c r="B87" s="634">
        <f>'RT03-F12 °'!K44</f>
        <v>0</v>
      </c>
      <c r="C87" s="634">
        <f>'RT03-F12 °'!K45</f>
        <v>0</v>
      </c>
      <c r="D87" s="635">
        <f>'RT03-F12 °'!K46</f>
        <v>0</v>
      </c>
      <c r="E87" s="599"/>
      <c r="F87" s="599"/>
    </row>
    <row r="88" spans="1:6" ht="12" customHeight="1" x14ac:dyDescent="0.2">
      <c r="A88" s="588"/>
      <c r="B88" s="588"/>
      <c r="C88" s="588"/>
      <c r="D88" s="599"/>
      <c r="E88" s="599"/>
      <c r="F88" s="599"/>
    </row>
    <row r="89" spans="1:6" ht="66.75" customHeight="1" x14ac:dyDescent="0.2">
      <c r="A89" s="1233" t="s">
        <v>300</v>
      </c>
      <c r="B89" s="1233"/>
      <c r="C89" s="1233"/>
      <c r="D89" s="1233"/>
      <c r="E89" s="1233"/>
      <c r="F89" s="1233"/>
    </row>
    <row r="90" spans="1:6" ht="12" customHeight="1" x14ac:dyDescent="0.2">
      <c r="E90" s="599"/>
      <c r="F90" s="599"/>
    </row>
    <row r="91" spans="1:6" ht="15" customHeight="1" x14ac:dyDescent="0.2">
      <c r="A91" s="1229" t="s">
        <v>304</v>
      </c>
      <c r="B91" s="1229"/>
      <c r="C91" s="1229"/>
      <c r="D91" s="1229"/>
      <c r="E91" s="588"/>
      <c r="F91" s="588"/>
    </row>
    <row r="92" spans="1:6" ht="12" customHeight="1" thickBot="1" x14ac:dyDescent="0.25"/>
    <row r="93" spans="1:6" ht="15" customHeight="1" thickBot="1" x14ac:dyDescent="0.25">
      <c r="A93" s="1243" t="s">
        <v>299</v>
      </c>
      <c r="B93" s="1244"/>
      <c r="C93" s="1245"/>
      <c r="D93" s="588"/>
      <c r="E93" s="588"/>
      <c r="F93" s="588"/>
    </row>
    <row r="94" spans="1:6" ht="39.950000000000003" customHeight="1" thickBot="1" x14ac:dyDescent="0.25">
      <c r="A94" s="636" t="s">
        <v>327</v>
      </c>
      <c r="B94" s="637" t="s">
        <v>329</v>
      </c>
      <c r="C94" s="638" t="s">
        <v>328</v>
      </c>
      <c r="D94" s="588"/>
      <c r="E94" s="588"/>
      <c r="F94" s="588"/>
    </row>
    <row r="95" spans="1:6" ht="17.100000000000001" customHeight="1" x14ac:dyDescent="0.2">
      <c r="A95" s="639" t="e">
        <f>'RT03-F12 °'!B55</f>
        <v>#N/A</v>
      </c>
      <c r="B95" s="640">
        <f>'RT03-F12 °'!C55</f>
        <v>0</v>
      </c>
      <c r="C95" s="641" t="e">
        <f>'RT03-F12 °'!D55</f>
        <v>#N/A</v>
      </c>
      <c r="D95" s="588"/>
      <c r="E95" s="588"/>
      <c r="F95" s="588"/>
    </row>
    <row r="96" spans="1:6" ht="17.100000000000001" customHeight="1" x14ac:dyDescent="0.2">
      <c r="A96" s="642" t="e">
        <f>'RT03-F12 °'!B56</f>
        <v>#N/A</v>
      </c>
      <c r="B96" s="619">
        <f>'RT03-F12 °'!C56</f>
        <v>0</v>
      </c>
      <c r="C96" s="643" t="e">
        <f>'RT03-F12 °'!D56</f>
        <v>#N/A</v>
      </c>
      <c r="D96" s="588"/>
      <c r="E96" s="588"/>
      <c r="F96" s="588"/>
    </row>
    <row r="97" spans="1:6" ht="17.100000000000001" customHeight="1" x14ac:dyDescent="0.2">
      <c r="A97" s="642" t="e">
        <f>'RT03-F12 °'!B57</f>
        <v>#N/A</v>
      </c>
      <c r="B97" s="619">
        <f>'RT03-F12 °'!C57</f>
        <v>0</v>
      </c>
      <c r="C97" s="690" t="e">
        <f>'RT03-F12 °'!D57</f>
        <v>#N/A</v>
      </c>
      <c r="D97" s="588"/>
      <c r="E97" s="588"/>
      <c r="F97" s="588"/>
    </row>
    <row r="98" spans="1:6" ht="17.100000000000001" customHeight="1" x14ac:dyDescent="0.2">
      <c r="A98" s="642" t="e">
        <f>'RT03-F12 °'!B58</f>
        <v>#N/A</v>
      </c>
      <c r="B98" s="619">
        <f>'RT03-F12 °'!C58</f>
        <v>0</v>
      </c>
      <c r="C98" s="690" t="e">
        <f>'RT03-F12 °'!D58</f>
        <v>#N/A</v>
      </c>
      <c r="D98" s="588"/>
      <c r="E98" s="588"/>
      <c r="F98" s="588"/>
    </row>
    <row r="99" spans="1:6" ht="17.100000000000001" customHeight="1" thickBot="1" x14ac:dyDescent="0.25">
      <c r="A99" s="644" t="e">
        <f>'RT03-F12 °'!B59</f>
        <v>#N/A</v>
      </c>
      <c r="B99" s="634">
        <f>'RT03-F12 °'!C59</f>
        <v>0</v>
      </c>
      <c r="C99" s="691" t="e">
        <f>'RT03-F12 °'!D59</f>
        <v>#N/A</v>
      </c>
      <c r="D99" s="588"/>
      <c r="E99" s="588"/>
      <c r="F99" s="588"/>
    </row>
    <row r="100" spans="1:6" ht="15.95" customHeight="1" thickBot="1" x14ac:dyDescent="0.25">
      <c r="A100" s="645"/>
      <c r="B100" s="645"/>
      <c r="C100" s="645"/>
      <c r="D100" s="588"/>
      <c r="E100" s="588"/>
      <c r="F100" s="645"/>
    </row>
    <row r="101" spans="1:6" ht="15.95" customHeight="1" thickBot="1" x14ac:dyDescent="0.25">
      <c r="A101" s="1243" t="s">
        <v>301</v>
      </c>
      <c r="B101" s="1244"/>
      <c r="C101" s="1245"/>
      <c r="D101" s="804" t="s">
        <v>449</v>
      </c>
    </row>
    <row r="102" spans="1:6" ht="26.25" thickBot="1" x14ac:dyDescent="0.25">
      <c r="A102" s="646" t="str">
        <f>'RT03-F12 °'!B54</f>
        <v>Masa  Convencional (g)</v>
      </c>
      <c r="B102" s="600" t="s">
        <v>248</v>
      </c>
      <c r="C102" s="647" t="s">
        <v>359</v>
      </c>
      <c r="D102" s="803" t="s">
        <v>450</v>
      </c>
    </row>
    <row r="103" spans="1:6" ht="15.95" customHeight="1" x14ac:dyDescent="0.2">
      <c r="A103" s="649" t="e">
        <f>'RT03-F12 °'!B55</f>
        <v>#N/A</v>
      </c>
      <c r="B103" s="650" t="e">
        <f>'RT03-F12 °'!K55</f>
        <v>#DIV/0!</v>
      </c>
      <c r="C103" s="798" t="e">
        <f>'RT03-F12 °'!F105</f>
        <v>#DIV/0!</v>
      </c>
      <c r="D103" s="808" t="e">
        <f>IF(ABS(B103)+C103&gt;=(($C$110)),"NO","SI")</f>
        <v>#DIV/0!</v>
      </c>
    </row>
    <row r="104" spans="1:6" ht="15.95" customHeight="1" x14ac:dyDescent="0.2">
      <c r="A104" s="642" t="e">
        <f>'RT03-F12 °'!B56</f>
        <v>#N/A</v>
      </c>
      <c r="B104" s="651" t="e">
        <f>'RT03-F12 °'!K56</f>
        <v>#DIV/0!</v>
      </c>
      <c r="C104" s="799" t="e">
        <f>'RT03-F12 °'!G105</f>
        <v>#DIV/0!</v>
      </c>
      <c r="D104" s="809" t="e">
        <f t="shared" ref="D104:D106" si="0">IF(ABS(B104)+C104&gt;=(($C$110)),"NO","SI")</f>
        <v>#DIV/0!</v>
      </c>
      <c r="E104" s="648"/>
    </row>
    <row r="105" spans="1:6" ht="15.95" customHeight="1" x14ac:dyDescent="0.2">
      <c r="A105" s="642" t="e">
        <f>'RT03-F12 °'!B57</f>
        <v>#N/A</v>
      </c>
      <c r="B105" s="689" t="e">
        <f>'RT03-F12 °'!K57</f>
        <v>#DIV/0!</v>
      </c>
      <c r="C105" s="800" t="e">
        <f>'RT03-F12 °'!H105</f>
        <v>#DIV/0!</v>
      </c>
      <c r="D105" s="809" t="e">
        <f t="shared" si="0"/>
        <v>#DIV/0!</v>
      </c>
      <c r="E105" s="648"/>
    </row>
    <row r="106" spans="1:6" ht="15.95" customHeight="1" x14ac:dyDescent="0.2">
      <c r="A106" s="642" t="e">
        <f>'RT03-F12 °'!B58</f>
        <v>#N/A</v>
      </c>
      <c r="B106" s="687" t="e">
        <f>'RT03-F12 °'!K58</f>
        <v>#DIV/0!</v>
      </c>
      <c r="C106" s="801" t="e">
        <f>'RT03-F12 °'!I105</f>
        <v>#DIV/0!</v>
      </c>
      <c r="D106" s="809" t="e">
        <f t="shared" si="0"/>
        <v>#DIV/0!</v>
      </c>
      <c r="E106" s="648"/>
      <c r="F106" s="597"/>
    </row>
    <row r="107" spans="1:6" ht="15.95" customHeight="1" thickBot="1" x14ac:dyDescent="0.25">
      <c r="A107" s="644" t="e">
        <f>'RT03-F12 °'!B59</f>
        <v>#N/A</v>
      </c>
      <c r="B107" s="688" t="e">
        <f>'RT03-F12 °'!K59</f>
        <v>#DIV/0!</v>
      </c>
      <c r="C107" s="802" t="e">
        <f>'RT03-F12 °'!J105</f>
        <v>#DIV/0!</v>
      </c>
      <c r="D107" s="810" t="e">
        <f>IF(ABS(B107)+C107&gt;=(($C$111)),"NO","SI")</f>
        <v>#DIV/0!</v>
      </c>
      <c r="E107" s="648"/>
      <c r="F107" s="597"/>
    </row>
    <row r="108" spans="1:6" ht="15.95" customHeight="1" thickBot="1" x14ac:dyDescent="0.25">
      <c r="A108" s="652"/>
      <c r="B108" s="624"/>
      <c r="C108" s="624"/>
      <c r="D108" s="597"/>
      <c r="E108" s="648"/>
      <c r="F108" s="597"/>
    </row>
    <row r="109" spans="1:6" ht="15.95" customHeight="1" thickBot="1" x14ac:dyDescent="0.25">
      <c r="A109" s="805" t="s">
        <v>444</v>
      </c>
      <c r="B109" s="806" t="s">
        <v>445</v>
      </c>
      <c r="C109" s="807" t="s">
        <v>451</v>
      </c>
      <c r="D109" s="597"/>
      <c r="E109" s="648"/>
      <c r="F109" s="597"/>
    </row>
    <row r="110" spans="1:6" ht="15.95" customHeight="1" x14ac:dyDescent="0.2">
      <c r="A110" s="832" t="s">
        <v>446</v>
      </c>
      <c r="B110" s="833" t="s">
        <v>454</v>
      </c>
      <c r="C110" s="834">
        <v>1</v>
      </c>
      <c r="D110" s="597"/>
      <c r="E110" s="648"/>
      <c r="F110" s="597"/>
    </row>
    <row r="111" spans="1:6" ht="15.95" customHeight="1" thickBot="1" x14ac:dyDescent="0.25">
      <c r="A111" s="835" t="s">
        <v>447</v>
      </c>
      <c r="B111" s="836" t="s">
        <v>455</v>
      </c>
      <c r="C111" s="837">
        <v>2</v>
      </c>
      <c r="D111" s="597"/>
      <c r="E111" s="648"/>
      <c r="F111" s="597"/>
    </row>
    <row r="112" spans="1:6" ht="15.95" customHeight="1" x14ac:dyDescent="0.2">
      <c r="A112" s="597"/>
      <c r="B112" s="597"/>
      <c r="C112" s="597"/>
      <c r="D112" s="597"/>
      <c r="E112" s="648"/>
      <c r="F112" s="597"/>
    </row>
    <row r="113" spans="1:6" ht="22.5" customHeight="1" x14ac:dyDescent="0.2">
      <c r="A113" s="597"/>
      <c r="B113" s="597"/>
      <c r="C113" s="597"/>
      <c r="D113" s="597"/>
      <c r="E113" s="648"/>
      <c r="F113" s="597"/>
    </row>
    <row r="114" spans="1:6" ht="18" customHeight="1" x14ac:dyDescent="0.2">
      <c r="A114" s="652"/>
      <c r="B114" s="624"/>
      <c r="C114" s="624"/>
    </row>
    <row r="115" spans="1:6" ht="18" customHeight="1" x14ac:dyDescent="0.2">
      <c r="A115" s="652"/>
      <c r="B115" s="624"/>
      <c r="C115" s="624"/>
      <c r="D115" s="1234" t="s">
        <v>308</v>
      </c>
      <c r="E115" s="1234"/>
      <c r="F115" s="586" t="e">
        <f>F3</f>
        <v>#N/A</v>
      </c>
    </row>
    <row r="116" spans="1:6" ht="18" customHeight="1" x14ac:dyDescent="0.2">
      <c r="A116" s="652"/>
      <c r="B116" s="624"/>
      <c r="C116" s="624"/>
      <c r="D116" s="653"/>
      <c r="E116" s="653"/>
      <c r="F116" s="586"/>
    </row>
    <row r="117" spans="1:6" ht="20.100000000000001" customHeight="1" x14ac:dyDescent="0.2">
      <c r="A117" s="654"/>
      <c r="B117" s="624"/>
      <c r="C117" s="624"/>
      <c r="D117" s="597"/>
      <c r="E117" s="648"/>
      <c r="F117" s="597"/>
    </row>
    <row r="118" spans="1:6" ht="15" customHeight="1" x14ac:dyDescent="0.2">
      <c r="A118" s="645"/>
      <c r="B118" s="624"/>
      <c r="C118" s="624"/>
      <c r="D118" s="588"/>
      <c r="E118" s="588"/>
      <c r="F118" s="588"/>
    </row>
    <row r="119" spans="1:6" ht="15" customHeight="1" x14ac:dyDescent="0.2">
      <c r="A119" s="597"/>
      <c r="B119" s="655"/>
      <c r="C119" s="597"/>
      <c r="D119" s="597"/>
      <c r="E119" s="597"/>
      <c r="F119" s="597"/>
    </row>
    <row r="120" spans="1:6" ht="15" customHeight="1" x14ac:dyDescent="0.2">
      <c r="A120" s="597"/>
      <c r="B120" s="597"/>
      <c r="C120" s="597"/>
      <c r="D120" s="597"/>
      <c r="E120" s="597"/>
      <c r="F120" s="597"/>
    </row>
    <row r="121" spans="1:6" ht="15" customHeight="1" x14ac:dyDescent="0.2">
      <c r="A121" s="597"/>
      <c r="B121" s="597"/>
      <c r="C121" s="597"/>
      <c r="D121" s="597"/>
      <c r="E121" s="597"/>
      <c r="F121" s="597"/>
    </row>
    <row r="122" spans="1:6" ht="15" customHeight="1" x14ac:dyDescent="0.2">
      <c r="A122" s="597"/>
      <c r="B122" s="597"/>
      <c r="C122" s="597"/>
      <c r="D122" s="597"/>
      <c r="E122" s="597"/>
      <c r="F122" s="597"/>
    </row>
    <row r="123" spans="1:6" ht="15" customHeight="1" x14ac:dyDescent="0.2">
      <c r="A123" s="597"/>
      <c r="B123" s="597"/>
      <c r="C123" s="597"/>
      <c r="D123" s="597"/>
      <c r="E123" s="597"/>
      <c r="F123" s="597"/>
    </row>
    <row r="124" spans="1:6" ht="15" customHeight="1" x14ac:dyDescent="0.2">
      <c r="A124" s="597"/>
      <c r="B124" s="597"/>
      <c r="C124" s="597"/>
      <c r="D124" s="597"/>
      <c r="E124" s="597"/>
      <c r="F124" s="597"/>
    </row>
    <row r="125" spans="1:6" ht="15" customHeight="1" x14ac:dyDescent="0.2">
      <c r="A125" s="597"/>
      <c r="B125" s="597"/>
      <c r="C125" s="597"/>
      <c r="D125" s="597"/>
      <c r="E125" s="597"/>
      <c r="F125" s="597"/>
    </row>
    <row r="126" spans="1:6" ht="15" customHeight="1" x14ac:dyDescent="0.2">
      <c r="A126" s="597"/>
      <c r="B126" s="597"/>
      <c r="C126" s="597"/>
      <c r="D126" s="597"/>
      <c r="E126" s="597"/>
      <c r="F126" s="597"/>
    </row>
    <row r="127" spans="1:6" ht="15" customHeight="1" x14ac:dyDescent="0.2">
      <c r="A127" s="597"/>
      <c r="B127" s="597"/>
      <c r="C127" s="597"/>
      <c r="D127" s="597"/>
      <c r="E127" s="597"/>
      <c r="F127" s="597"/>
    </row>
    <row r="128" spans="1:6" ht="15" customHeight="1" x14ac:dyDescent="0.2">
      <c r="A128" s="597"/>
      <c r="B128" s="597"/>
      <c r="C128" s="597"/>
      <c r="D128" s="597"/>
      <c r="E128" s="597"/>
      <c r="F128" s="597"/>
    </row>
    <row r="129" spans="1:6" ht="15" customHeight="1" x14ac:dyDescent="0.2">
      <c r="A129" s="597"/>
      <c r="B129" s="597"/>
      <c r="C129" s="597"/>
      <c r="D129" s="597"/>
      <c r="E129" s="597"/>
      <c r="F129" s="597"/>
    </row>
    <row r="130" spans="1:6" ht="15" customHeight="1" x14ac:dyDescent="0.2">
      <c r="A130" s="597"/>
      <c r="B130" s="597"/>
      <c r="C130" s="597"/>
      <c r="D130" s="597"/>
      <c r="E130" s="597"/>
      <c r="F130" s="597"/>
    </row>
    <row r="131" spans="1:6" ht="15" customHeight="1" x14ac:dyDescent="0.2">
      <c r="D131" s="588"/>
      <c r="E131" s="588"/>
      <c r="F131" s="588"/>
    </row>
    <row r="132" spans="1:6" ht="15" customHeight="1" x14ac:dyDescent="0.2">
      <c r="A132" s="588"/>
      <c r="B132" s="588"/>
      <c r="C132" s="588"/>
      <c r="D132" s="588"/>
      <c r="E132" s="588"/>
      <c r="F132" s="588"/>
    </row>
    <row r="133" spans="1:6" ht="15" customHeight="1" x14ac:dyDescent="0.2">
      <c r="A133" s="588"/>
      <c r="B133" s="588"/>
      <c r="C133" s="588"/>
      <c r="D133" s="588"/>
      <c r="E133" s="588"/>
      <c r="F133" s="588"/>
    </row>
    <row r="134" spans="1:6" ht="15" customHeight="1" x14ac:dyDescent="0.2">
      <c r="A134" s="588"/>
      <c r="B134" s="588"/>
      <c r="C134" s="588"/>
      <c r="D134" s="588"/>
      <c r="E134" s="588"/>
      <c r="F134" s="588"/>
    </row>
    <row r="135" spans="1:6" ht="70.5" customHeight="1" x14ac:dyDescent="0.2">
      <c r="A135" s="1280" t="s">
        <v>448</v>
      </c>
      <c r="B135" s="1280"/>
      <c r="C135" s="1280"/>
      <c r="D135" s="1280"/>
      <c r="E135" s="1280"/>
      <c r="F135" s="1280"/>
    </row>
    <row r="136" spans="1:6" ht="15" customHeight="1" x14ac:dyDescent="0.2">
      <c r="A136" s="811"/>
      <c r="B136" s="811"/>
      <c r="C136" s="811"/>
      <c r="D136" s="811"/>
      <c r="E136" s="811"/>
      <c r="F136" s="811"/>
    </row>
    <row r="137" spans="1:6" ht="15" customHeight="1" x14ac:dyDescent="0.2">
      <c r="A137" s="706"/>
      <c r="B137" s="706"/>
      <c r="C137" s="706"/>
      <c r="D137" s="706"/>
      <c r="E137" s="706"/>
      <c r="F137" s="706"/>
    </row>
    <row r="138" spans="1:6" ht="15" customHeight="1" x14ac:dyDescent="0.2">
      <c r="A138" s="706"/>
      <c r="B138" s="706"/>
      <c r="C138" s="706"/>
      <c r="D138" s="706"/>
      <c r="E138" s="706"/>
      <c r="F138" s="706"/>
    </row>
    <row r="139" spans="1:6" ht="17.25" customHeight="1" x14ac:dyDescent="0.2">
      <c r="A139" s="1225"/>
      <c r="B139" s="1225"/>
      <c r="C139" s="1225"/>
      <c r="D139" s="1225"/>
      <c r="E139" s="1225"/>
      <c r="F139" s="1225"/>
    </row>
    <row r="140" spans="1:6" ht="15" customHeight="1" x14ac:dyDescent="0.2">
      <c r="A140" s="706"/>
      <c r="B140" s="706"/>
      <c r="C140" s="706"/>
      <c r="D140" s="706"/>
      <c r="E140" s="706"/>
      <c r="F140" s="706"/>
    </row>
    <row r="141" spans="1:6" ht="15" customHeight="1" x14ac:dyDescent="0.2">
      <c r="A141" s="1236"/>
      <c r="B141" s="1236"/>
      <c r="C141" s="1236"/>
      <c r="D141" s="1236"/>
      <c r="E141" s="1236"/>
      <c r="F141" s="1236"/>
    </row>
    <row r="142" spans="1:6" ht="15" customHeight="1" x14ac:dyDescent="0.2">
      <c r="A142" s="1236"/>
      <c r="B142" s="1236"/>
      <c r="C142" s="1236"/>
      <c r="D142" s="1236"/>
      <c r="E142" s="1236"/>
      <c r="F142" s="1236"/>
    </row>
    <row r="143" spans="1:6" ht="20.100000000000001" customHeight="1" x14ac:dyDescent="0.2">
      <c r="A143" s="1229"/>
      <c r="B143" s="1229"/>
      <c r="C143" s="1229"/>
      <c r="D143" s="588"/>
      <c r="E143" s="588"/>
      <c r="F143" s="588"/>
    </row>
    <row r="144" spans="1:6" ht="20.100000000000001" customHeight="1" x14ac:dyDescent="0.2">
      <c r="A144" s="1237" t="s">
        <v>349</v>
      </c>
      <c r="B144" s="1237"/>
      <c r="C144" s="1237"/>
      <c r="D144" s="1237"/>
      <c r="E144" s="1237"/>
      <c r="F144" s="588"/>
    </row>
    <row r="145" spans="1:9" ht="12" customHeight="1" x14ac:dyDescent="0.2">
      <c r="A145" s="596"/>
      <c r="B145" s="596"/>
      <c r="C145" s="596"/>
      <c r="D145" s="596"/>
      <c r="E145" s="596"/>
      <c r="F145" s="588"/>
    </row>
    <row r="146" spans="1:9" ht="12" customHeight="1" x14ac:dyDescent="0.2">
      <c r="A146" s="1235" t="s">
        <v>407</v>
      </c>
      <c r="B146" s="1235"/>
      <c r="C146" s="1235"/>
      <c r="D146" s="1235"/>
      <c r="E146" s="1235"/>
      <c r="F146" s="1235"/>
    </row>
    <row r="147" spans="1:9" ht="35.25" customHeight="1" x14ac:dyDescent="0.2">
      <c r="A147" s="1235"/>
      <c r="B147" s="1235"/>
      <c r="C147" s="1235"/>
      <c r="D147" s="1235"/>
      <c r="E147" s="1235"/>
      <c r="F147" s="1235"/>
    </row>
    <row r="148" spans="1:9" ht="20.100000000000001" customHeight="1" thickBot="1" x14ac:dyDescent="0.25">
      <c r="A148" s="596"/>
      <c r="B148" s="596"/>
      <c r="C148" s="596"/>
      <c r="D148" s="596"/>
      <c r="E148" s="596"/>
      <c r="F148" s="596"/>
    </row>
    <row r="149" spans="1:9" ht="42" customHeight="1" thickTop="1" thickBot="1" x14ac:dyDescent="0.25">
      <c r="A149" s="656" t="s">
        <v>351</v>
      </c>
      <c r="B149" s="659" t="e">
        <f>IF('RT03-F12 °'!F140&lt;=('DATOS ° '!H157),"0,078",'RT03-F12 °'!F140)</f>
        <v>#N/A</v>
      </c>
      <c r="C149" s="657" t="s">
        <v>305</v>
      </c>
      <c r="D149" s="658" t="e">
        <f>'RT03-F12 °'!H140</f>
        <v>#N/A</v>
      </c>
      <c r="E149" s="659" t="s">
        <v>68</v>
      </c>
      <c r="F149" s="660"/>
    </row>
    <row r="150" spans="1:9" ht="20.100000000000001" customHeight="1" thickTop="1" x14ac:dyDescent="0.35">
      <c r="A150" s="661"/>
      <c r="B150" s="662"/>
      <c r="C150" s="662"/>
      <c r="D150" s="662"/>
      <c r="E150" s="663"/>
      <c r="F150" s="663"/>
    </row>
    <row r="151" spans="1:9" ht="18" customHeight="1" x14ac:dyDescent="0.2">
      <c r="A151" s="1247"/>
      <c r="B151" s="1247"/>
      <c r="C151" s="1247"/>
      <c r="D151" s="1247"/>
      <c r="E151" s="1247"/>
      <c r="F151" s="1247"/>
    </row>
    <row r="152" spans="1:9" ht="18" customHeight="1" x14ac:dyDescent="0.2">
      <c r="A152" s="591"/>
      <c r="B152" s="591"/>
      <c r="C152" s="591"/>
      <c r="D152" s="591"/>
      <c r="E152" s="591"/>
      <c r="F152" s="591"/>
    </row>
    <row r="153" spans="1:9" ht="18" customHeight="1" x14ac:dyDescent="0.2">
      <c r="A153" s="625"/>
      <c r="B153" s="625"/>
      <c r="C153" s="625"/>
      <c r="D153" s="625"/>
      <c r="E153" s="625"/>
      <c r="F153" s="625"/>
    </row>
    <row r="154" spans="1:9" ht="18" customHeight="1" x14ac:dyDescent="0.2">
      <c r="A154" s="625"/>
      <c r="B154" s="625"/>
      <c r="C154" s="625"/>
      <c r="D154" s="625"/>
      <c r="E154" s="625"/>
      <c r="F154" s="625"/>
    </row>
    <row r="155" spans="1:9" ht="18" customHeight="1" thickBot="1" x14ac:dyDescent="0.25">
      <c r="A155" s="625"/>
      <c r="B155" s="625"/>
      <c r="C155" s="625"/>
      <c r="D155" s="664"/>
      <c r="E155" s="664"/>
      <c r="F155" s="664"/>
    </row>
    <row r="156" spans="1:9" ht="20.100000000000001" customHeight="1" thickBot="1" x14ac:dyDescent="0.25">
      <c r="A156" s="665" t="s">
        <v>403</v>
      </c>
      <c r="B156" s="1248" t="s">
        <v>306</v>
      </c>
      <c r="C156" s="1249"/>
      <c r="D156" s="1249"/>
      <c r="E156" s="655"/>
      <c r="F156" s="589"/>
    </row>
    <row r="157" spans="1:9" ht="20.100000000000001" customHeight="1" thickBot="1" x14ac:dyDescent="0.25">
      <c r="A157" s="666" t="s">
        <v>89</v>
      </c>
      <c r="B157" s="1248" t="s">
        <v>90</v>
      </c>
      <c r="C157" s="1249"/>
      <c r="D157" s="1249"/>
      <c r="E157" s="667"/>
      <c r="F157" s="667"/>
      <c r="G157" s="667"/>
      <c r="H157" s="667"/>
      <c r="I157" s="667"/>
    </row>
    <row r="158" spans="1:9" ht="20.100000000000001" customHeight="1" thickBot="1" x14ac:dyDescent="0.25">
      <c r="A158" s="668" t="s">
        <v>91</v>
      </c>
      <c r="B158" s="1248" t="s">
        <v>92</v>
      </c>
      <c r="C158" s="1249"/>
      <c r="D158" s="1249"/>
      <c r="E158" s="589"/>
      <c r="F158" s="589"/>
    </row>
    <row r="159" spans="1:9" ht="18" customHeight="1" x14ac:dyDescent="0.2">
      <c r="E159" s="589"/>
      <c r="F159" s="589"/>
    </row>
    <row r="160" spans="1:9" ht="18" customHeight="1" x14ac:dyDescent="0.2">
      <c r="A160" s="1229"/>
      <c r="B160" s="1229"/>
      <c r="C160" s="1229"/>
      <c r="D160" s="1229"/>
      <c r="E160" s="669"/>
      <c r="F160" s="589"/>
    </row>
    <row r="161" spans="1:7" ht="120" customHeight="1" x14ac:dyDescent="0.2">
      <c r="A161" s="1250"/>
      <c r="B161" s="1250"/>
      <c r="C161" s="1250"/>
      <c r="D161" s="1250"/>
      <c r="E161" s="1250"/>
      <c r="F161" s="1250"/>
    </row>
    <row r="162" spans="1:7" ht="18" customHeight="1" x14ac:dyDescent="0.2"/>
    <row r="163" spans="1:7" ht="17.25" customHeight="1" x14ac:dyDescent="0.2">
      <c r="D163" s="1234" t="s">
        <v>308</v>
      </c>
      <c r="E163" s="1234"/>
      <c r="F163" s="586" t="e">
        <f>F3</f>
        <v>#N/A</v>
      </c>
    </row>
    <row r="164" spans="1:7" ht="17.25" customHeight="1" x14ac:dyDescent="0.2">
      <c r="D164" s="653"/>
      <c r="E164" s="653"/>
      <c r="F164" s="586"/>
    </row>
    <row r="165" spans="1:7" ht="20.100000000000001" customHeight="1" x14ac:dyDescent="0.2">
      <c r="A165" s="1237" t="s">
        <v>350</v>
      </c>
      <c r="B165" s="1237"/>
      <c r="C165" s="1237"/>
      <c r="D165" s="670"/>
      <c r="E165" s="670"/>
      <c r="F165" s="670"/>
    </row>
    <row r="166" spans="1:7" ht="12" customHeight="1" x14ac:dyDescent="0.2">
      <c r="A166" s="1246" t="s">
        <v>331</v>
      </c>
      <c r="B166" s="1246"/>
      <c r="C166" s="1246"/>
      <c r="D166" s="1246"/>
      <c r="E166" s="1246"/>
      <c r="F166" s="1246"/>
    </row>
    <row r="167" spans="1:7" ht="31.5" customHeight="1" x14ac:dyDescent="0.2">
      <c r="A167" s="1251" t="s">
        <v>411</v>
      </c>
      <c r="B167" s="1251"/>
      <c r="C167" s="1251"/>
      <c r="D167" s="1251"/>
      <c r="E167" s="1251"/>
      <c r="F167" s="1251"/>
    </row>
    <row r="168" spans="1:7" ht="15" customHeight="1" x14ac:dyDescent="0.2">
      <c r="A168" s="838"/>
      <c r="B168" s="838"/>
      <c r="C168" s="838"/>
      <c r="D168" s="838"/>
      <c r="E168" s="838"/>
      <c r="F168" s="838"/>
    </row>
    <row r="169" spans="1:7" ht="35.1" customHeight="1" x14ac:dyDescent="0.2">
      <c r="A169" s="1227" t="s">
        <v>412</v>
      </c>
      <c r="B169" s="1227"/>
      <c r="C169" s="1227"/>
      <c r="D169" s="1227"/>
      <c r="E169" s="1227"/>
      <c r="F169" s="1227"/>
      <c r="G169" s="671"/>
    </row>
    <row r="170" spans="1:7" ht="15" customHeight="1" x14ac:dyDescent="0.2">
      <c r="A170" s="828"/>
      <c r="B170" s="828"/>
      <c r="C170" s="828"/>
      <c r="D170" s="828"/>
      <c r="E170" s="828"/>
      <c r="F170" s="828"/>
      <c r="G170" s="671"/>
    </row>
    <row r="171" spans="1:7" ht="35.1" customHeight="1" x14ac:dyDescent="0.2">
      <c r="A171" s="1227" t="s">
        <v>413</v>
      </c>
      <c r="B171" s="1227"/>
      <c r="C171" s="1227"/>
      <c r="D171" s="1227"/>
      <c r="E171" s="1227"/>
      <c r="F171" s="1227"/>
      <c r="G171" s="671"/>
    </row>
    <row r="172" spans="1:7" ht="15" customHeight="1" x14ac:dyDescent="0.2">
      <c r="A172" s="828"/>
      <c r="B172" s="828"/>
      <c r="C172" s="828"/>
      <c r="D172" s="828"/>
      <c r="E172" s="828"/>
      <c r="F172" s="828"/>
      <c r="G172" s="671"/>
    </row>
    <row r="173" spans="1:7" ht="20.100000000000001" customHeight="1" x14ac:dyDescent="0.2">
      <c r="A173" s="1227" t="s">
        <v>414</v>
      </c>
      <c r="B173" s="1227"/>
      <c r="C173" s="1227"/>
      <c r="D173" s="1227"/>
      <c r="E173" s="1227"/>
      <c r="F173" s="1227"/>
    </row>
    <row r="174" spans="1:7" ht="15" customHeight="1" x14ac:dyDescent="0.2">
      <c r="A174" s="1227"/>
      <c r="B174" s="1227"/>
      <c r="C174" s="1227"/>
      <c r="D174" s="1227"/>
      <c r="E174" s="1227"/>
      <c r="F174" s="1227"/>
    </row>
    <row r="175" spans="1:7" ht="20.100000000000001" customHeight="1" x14ac:dyDescent="0.2">
      <c r="A175" s="1227" t="s">
        <v>381</v>
      </c>
      <c r="B175" s="1227"/>
      <c r="C175" s="1227"/>
      <c r="D175" s="1227"/>
      <c r="E175" s="1227"/>
      <c r="F175" s="1227"/>
    </row>
    <row r="176" spans="1:7" ht="15" customHeight="1" x14ac:dyDescent="0.2">
      <c r="A176" s="828"/>
      <c r="B176" s="828"/>
      <c r="C176" s="828"/>
      <c r="D176" s="828"/>
      <c r="E176" s="828"/>
      <c r="F176" s="828"/>
    </row>
    <row r="177" spans="1:6" s="671" customFormat="1" ht="35.1" customHeight="1" x14ac:dyDescent="0.2">
      <c r="A177" s="1227" t="s">
        <v>408</v>
      </c>
      <c r="B177" s="1227"/>
      <c r="C177" s="1227"/>
      <c r="D177" s="1227"/>
      <c r="E177" s="1227"/>
      <c r="F177" s="1227"/>
    </row>
    <row r="178" spans="1:6" s="671" customFormat="1" ht="10.5" customHeight="1" x14ac:dyDescent="0.2">
      <c r="A178" s="828"/>
      <c r="B178" s="828"/>
      <c r="C178" s="828"/>
      <c r="D178" s="828"/>
      <c r="E178" s="828"/>
      <c r="F178" s="828"/>
    </row>
    <row r="179" spans="1:6" ht="30" customHeight="1" x14ac:dyDescent="0.2">
      <c r="A179" s="1251" t="s">
        <v>453</v>
      </c>
      <c r="B179" s="1251"/>
      <c r="C179" s="1251"/>
      <c r="D179" s="1251"/>
      <c r="E179" s="1251"/>
      <c r="F179" s="1251"/>
    </row>
    <row r="180" spans="1:6" ht="20.100000000000001" customHeight="1" x14ac:dyDescent="0.2">
      <c r="A180" s="1236"/>
      <c r="B180" s="1236"/>
      <c r="C180" s="1236"/>
      <c r="D180" s="1236"/>
      <c r="E180" s="1236"/>
      <c r="F180" s="1236"/>
    </row>
    <row r="181" spans="1:6" ht="20.100000000000001" customHeight="1" x14ac:dyDescent="0.2">
      <c r="A181" s="672"/>
      <c r="B181" s="672"/>
      <c r="C181" s="672"/>
      <c r="D181" s="672"/>
      <c r="E181" s="672"/>
      <c r="F181" s="672"/>
    </row>
    <row r="182" spans="1:6" ht="20.100000000000001" customHeight="1" x14ac:dyDescent="0.2">
      <c r="A182" s="693"/>
      <c r="B182" s="693"/>
      <c r="C182" s="693"/>
      <c r="D182" s="693"/>
      <c r="E182" s="693"/>
      <c r="F182" s="693"/>
    </row>
    <row r="183" spans="1:6" ht="20.100000000000001" customHeight="1" x14ac:dyDescent="0.2">
      <c r="A183" s="1227"/>
      <c r="B183" s="1227"/>
      <c r="C183" s="1227"/>
      <c r="D183" s="1227"/>
      <c r="E183" s="1227"/>
      <c r="F183" s="1227"/>
    </row>
    <row r="184" spans="1:6" ht="30" customHeight="1" x14ac:dyDescent="0.2">
      <c r="A184" s="694"/>
      <c r="B184" s="694"/>
      <c r="D184" s="695"/>
      <c r="E184" s="695"/>
    </row>
    <row r="185" spans="1:6" ht="20.100000000000001" customHeight="1" x14ac:dyDescent="0.2">
      <c r="A185" s="1225" t="s">
        <v>309</v>
      </c>
      <c r="B185" s="1225"/>
      <c r="C185" s="673"/>
    </row>
    <row r="186" spans="1:6" ht="20.100000000000001" customHeight="1" x14ac:dyDescent="0.2">
      <c r="A186" s="588"/>
      <c r="B186" s="588"/>
      <c r="C186" s="827"/>
      <c r="F186" s="827"/>
    </row>
    <row r="187" spans="1:6" ht="14.25" customHeight="1" x14ac:dyDescent="0.2">
      <c r="B187" s="674"/>
      <c r="C187" s="675"/>
    </row>
    <row r="188" spans="1:6" ht="15" customHeight="1" x14ac:dyDescent="0.2">
      <c r="A188" s="1253" t="s">
        <v>93</v>
      </c>
      <c r="B188" s="1253"/>
      <c r="C188" s="1253"/>
      <c r="D188" s="1253" t="s">
        <v>113</v>
      </c>
      <c r="E188" s="1253"/>
      <c r="F188" s="1253"/>
    </row>
    <row r="189" spans="1:6" ht="15" customHeight="1" x14ac:dyDescent="0.2">
      <c r="A189" s="1225" t="s">
        <v>352</v>
      </c>
      <c r="B189" s="1225"/>
      <c r="C189" s="1225"/>
      <c r="D189" s="1225" t="s">
        <v>353</v>
      </c>
      <c r="E189" s="1225"/>
      <c r="F189" s="1225"/>
    </row>
    <row r="190" spans="1:6" ht="20.25" customHeight="1" x14ac:dyDescent="0.2">
      <c r="A190" s="1225" t="e">
        <f>VLOOKUP($C$186,'DATOS ° '!$A$113:$D$159,4,FALSE)</f>
        <v>#N/A</v>
      </c>
      <c r="B190" s="1225"/>
      <c r="C190" s="1225"/>
      <c r="D190" s="1225" t="e">
        <f>VLOOKUP($F$186,'DATOS ° '!A156:F159,6,FALSE)</f>
        <v>#N/A</v>
      </c>
      <c r="E190" s="1225"/>
      <c r="F190" s="1225"/>
    </row>
    <row r="191" spans="1:6" ht="15" customHeight="1" x14ac:dyDescent="0.2">
      <c r="A191" s="1254" t="e">
        <f>VLOOKUP($C$186,'DATOS ° '!$A$113:$H$168,2,FALSE)</f>
        <v>#N/A</v>
      </c>
      <c r="B191" s="1254"/>
      <c r="C191" s="1254"/>
      <c r="D191" s="1254" t="e">
        <f>VLOOKUP($F$186,'DATOS ° '!A156:F159,2,FALSE)</f>
        <v>#N/A</v>
      </c>
      <c r="E191" s="1254"/>
      <c r="F191" s="1254"/>
    </row>
    <row r="193" spans="2:5" s="676" customFormat="1" ht="9.9499999999999993" customHeight="1" x14ac:dyDescent="0.2">
      <c r="B193" s="1252" t="s">
        <v>115</v>
      </c>
      <c r="C193" s="1252"/>
      <c r="D193" s="1252"/>
      <c r="E193" s="1252"/>
    </row>
    <row r="194" spans="2:5" ht="15" customHeight="1" x14ac:dyDescent="0.2">
      <c r="B194" s="677"/>
      <c r="C194" s="677"/>
      <c r="D194" s="677"/>
      <c r="E194" s="677"/>
    </row>
  </sheetData>
  <sheetProtection algorithmName="SHA-512" hashValue="8UxF/3ZJl7BLnSj1qhH7XLBLyWwGaoiBlTXIGUFIqxMBaCZSCneBhPVy6gW6CHLGzIkv8JMJ8nloOGTxZZ22bA==" saltValue="o+syh8QMIv/4xa4VGMovMA==" spinCount="100000" sheet="1" objects="1" scenarios="1"/>
  <mergeCells count="92">
    <mergeCell ref="A135:F135"/>
    <mergeCell ref="A44:F44"/>
    <mergeCell ref="A1:F1"/>
    <mergeCell ref="A39:F39"/>
    <mergeCell ref="A70:F70"/>
    <mergeCell ref="C14:D14"/>
    <mergeCell ref="C15:D15"/>
    <mergeCell ref="A27:B27"/>
    <mergeCell ref="C27:E27"/>
    <mergeCell ref="A23:F23"/>
    <mergeCell ref="A16:B16"/>
    <mergeCell ref="A8:B8"/>
    <mergeCell ref="C8:D8"/>
    <mergeCell ref="A20:B20"/>
    <mergeCell ref="A42:F42"/>
    <mergeCell ref="A21:B21"/>
    <mergeCell ref="D3:E3"/>
    <mergeCell ref="A4:C4"/>
    <mergeCell ref="A6:B6"/>
    <mergeCell ref="C6:F6"/>
    <mergeCell ref="A7:B7"/>
    <mergeCell ref="C7:D7"/>
    <mergeCell ref="A19:B19"/>
    <mergeCell ref="A10:B10"/>
    <mergeCell ref="D10:E10"/>
    <mergeCell ref="A18:B18"/>
    <mergeCell ref="C17:D17"/>
    <mergeCell ref="A12:F12"/>
    <mergeCell ref="C16:F16"/>
    <mergeCell ref="A52:F52"/>
    <mergeCell ref="C50:D50"/>
    <mergeCell ref="A50:B50"/>
    <mergeCell ref="A29:F29"/>
    <mergeCell ref="A38:F38"/>
    <mergeCell ref="A46:B46"/>
    <mergeCell ref="A34:D34"/>
    <mergeCell ref="A49:B49"/>
    <mergeCell ref="C46:D46"/>
    <mergeCell ref="C47:D47"/>
    <mergeCell ref="C48:D48"/>
    <mergeCell ref="C49:D49"/>
    <mergeCell ref="A47:B47"/>
    <mergeCell ref="A31:F32"/>
    <mergeCell ref="D41:E41"/>
    <mergeCell ref="A48:B48"/>
    <mergeCell ref="B193:E193"/>
    <mergeCell ref="D188:F188"/>
    <mergeCell ref="A189:C189"/>
    <mergeCell ref="A190:C190"/>
    <mergeCell ref="D190:F190"/>
    <mergeCell ref="A191:C191"/>
    <mergeCell ref="D191:F191"/>
    <mergeCell ref="A188:C188"/>
    <mergeCell ref="D189:F189"/>
    <mergeCell ref="A185:B185"/>
    <mergeCell ref="A180:F180"/>
    <mergeCell ref="A166:F166"/>
    <mergeCell ref="A151:F151"/>
    <mergeCell ref="B156:D156"/>
    <mergeCell ref="B157:D157"/>
    <mergeCell ref="B158:D158"/>
    <mergeCell ref="A165:C165"/>
    <mergeCell ref="A183:F183"/>
    <mergeCell ref="A161:F161"/>
    <mergeCell ref="A167:F167"/>
    <mergeCell ref="A169:F169"/>
    <mergeCell ref="A179:F179"/>
    <mergeCell ref="A171:F171"/>
    <mergeCell ref="A173:F173"/>
    <mergeCell ref="A174:F174"/>
    <mergeCell ref="A64:B64"/>
    <mergeCell ref="A56:C56"/>
    <mergeCell ref="D115:E115"/>
    <mergeCell ref="A91:D91"/>
    <mergeCell ref="A93:C93"/>
    <mergeCell ref="A101:C101"/>
    <mergeCell ref="A139:F139"/>
    <mergeCell ref="A25:F25"/>
    <mergeCell ref="A175:F175"/>
    <mergeCell ref="A177:F177"/>
    <mergeCell ref="A66:F68"/>
    <mergeCell ref="A73:B73"/>
    <mergeCell ref="A75:D75"/>
    <mergeCell ref="A89:F89"/>
    <mergeCell ref="D163:E163"/>
    <mergeCell ref="A146:F147"/>
    <mergeCell ref="A160:D160"/>
    <mergeCell ref="A141:F142"/>
    <mergeCell ref="A143:C143"/>
    <mergeCell ref="A144:E144"/>
    <mergeCell ref="A54:C54"/>
    <mergeCell ref="D72:E72"/>
  </mergeCells>
  <printOptions horizontalCentered="1"/>
  <pageMargins left="0.23622047244094491" right="0.23622047244094491" top="0.74803149606299213" bottom="0.74803149606299213" header="0.31496062992125984" footer="0.31496062992125984"/>
  <pageSetup scale="73" orientation="portrait" r:id="rId1"/>
  <headerFooter>
    <oddHeader xml:space="preserve">&amp;CCERTIFICADO DE CALIBRACIÓN DE BALANZAS&amp;R&amp;"-,Negrita"&amp;12
             </oddHeader>
    <oddFooter>&amp;R&amp;8
  RT03-F15  Vr.7 (2019-11-07)
Página  &amp;P de &amp;N</oddFooter>
  </headerFooter>
  <rowBreaks count="4" manualBreakCount="4">
    <brk id="40" max="5" man="1"/>
    <brk id="69" max="5" man="1"/>
    <brk id="114" max="5" man="1"/>
    <brk id="16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 ° '!$A$156:$A$158</xm:f>
          </x14:formula1>
          <xm:sqref>C186</xm:sqref>
        </x14:dataValidation>
        <x14:dataValidation type="list" allowBlank="1" showInputMessage="1" showErrorMessage="1">
          <x14:formula1>
            <xm:f>'DATOS ° '!$A$156:$A$159</xm:f>
          </x14:formula1>
          <xm:sqref>F186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74"/>
  <sheetViews>
    <sheetView showGridLines="0" showRuler="0" showWhiteSpace="0" view="pageBreakPreview" zoomScale="70" zoomScaleNormal="110" zoomScaleSheetLayoutView="70" zoomScalePageLayoutView="85" workbookViewId="0">
      <selection activeCell="A29" sqref="A29:F29"/>
    </sheetView>
  </sheetViews>
  <sheetFormatPr baseColWidth="10" defaultRowHeight="15" customHeight="1" x14ac:dyDescent="0.2"/>
  <cols>
    <col min="1" max="6" width="17.7109375" style="81" customWidth="1"/>
    <col min="7" max="16384" width="11.42578125" style="81"/>
  </cols>
  <sheetData>
    <row r="1" spans="1:6" ht="120" customHeight="1" x14ac:dyDescent="0.2">
      <c r="A1" s="404"/>
      <c r="B1" s="404"/>
      <c r="C1" s="405"/>
      <c r="D1" s="405"/>
      <c r="E1" s="405"/>
      <c r="F1" s="405"/>
    </row>
    <row r="2" spans="1:6" ht="18" customHeight="1" x14ac:dyDescent="0.2">
      <c r="A2" s="84"/>
      <c r="B2" s="84"/>
      <c r="D2" s="1296" t="s">
        <v>379</v>
      </c>
      <c r="E2" s="1296"/>
      <c r="F2" s="406" t="e">
        <f>'RT03-F12 °'!I6</f>
        <v>#N/A</v>
      </c>
    </row>
    <row r="3" spans="1:6" ht="20.100000000000001" customHeight="1" x14ac:dyDescent="0.2">
      <c r="A3" s="1291" t="s">
        <v>74</v>
      </c>
      <c r="B3" s="1291"/>
      <c r="C3" s="1291"/>
    </row>
    <row r="4" spans="1:6" ht="12" customHeight="1" x14ac:dyDescent="0.2">
      <c r="A4" s="407"/>
      <c r="B4" s="408"/>
      <c r="C4" s="408"/>
      <c r="D4" s="408"/>
      <c r="E4" s="408"/>
      <c r="F4" s="408"/>
    </row>
    <row r="5" spans="1:6" ht="20.100000000000001" customHeight="1" x14ac:dyDescent="0.2">
      <c r="A5" s="1295" t="s">
        <v>294</v>
      </c>
      <c r="B5" s="1295"/>
      <c r="C5" s="1332" t="e">
        <f>'RT03-F12 °'!G6</f>
        <v>#N/A</v>
      </c>
      <c r="D5" s="1295"/>
      <c r="E5" s="1295"/>
      <c r="F5" s="1295"/>
    </row>
    <row r="6" spans="1:6" ht="20.100000000000001" customHeight="1" x14ac:dyDescent="0.2">
      <c r="A6" s="1295" t="s">
        <v>75</v>
      </c>
      <c r="B6" s="1295"/>
      <c r="C6" s="1332" t="e">
        <f>'RT03-F12 °'!H6</f>
        <v>#N/A</v>
      </c>
      <c r="D6" s="1332"/>
      <c r="E6" s="409"/>
      <c r="F6" s="409"/>
    </row>
    <row r="7" spans="1:6" ht="20.100000000000001" customHeight="1" x14ac:dyDescent="0.2">
      <c r="A7" s="1295" t="s">
        <v>76</v>
      </c>
      <c r="B7" s="1295"/>
      <c r="C7" s="1332" t="e">
        <f>'RT03-F12 °'!B6</f>
        <v>#N/A</v>
      </c>
      <c r="D7" s="1295"/>
      <c r="E7" s="410"/>
      <c r="F7" s="410"/>
    </row>
    <row r="8" spans="1:6" ht="15" customHeight="1" x14ac:dyDescent="0.2">
      <c r="A8" s="411"/>
      <c r="B8" s="411"/>
      <c r="C8" s="412"/>
      <c r="D8" s="411"/>
      <c r="E8" s="413"/>
      <c r="F8" s="413"/>
    </row>
    <row r="9" spans="1:6" ht="15" customHeight="1" x14ac:dyDescent="0.2">
      <c r="A9" s="1295" t="s">
        <v>77</v>
      </c>
      <c r="B9" s="1295"/>
      <c r="C9" s="414" t="e">
        <f>'RT03-F12 °'!C6</f>
        <v>#N/A</v>
      </c>
      <c r="D9" s="1333" t="s">
        <v>79</v>
      </c>
      <c r="E9" s="1333"/>
      <c r="F9" s="414" t="e">
        <f>'RT03-F12 °'!F6</f>
        <v>#N/A</v>
      </c>
    </row>
    <row r="10" spans="1:6" ht="15" customHeight="1" x14ac:dyDescent="0.2">
      <c r="A10" s="411"/>
      <c r="B10" s="411"/>
      <c r="C10" s="414"/>
      <c r="D10" s="415"/>
      <c r="E10" s="415"/>
      <c r="F10" s="414"/>
    </row>
    <row r="11" spans="1:6" ht="20.100000000000001" customHeight="1" x14ac:dyDescent="0.2">
      <c r="A11" s="1291" t="s">
        <v>340</v>
      </c>
      <c r="B11" s="1291"/>
      <c r="C11" s="1291"/>
      <c r="D11" s="1291"/>
      <c r="E11" s="1291"/>
      <c r="F11" s="1291"/>
    </row>
    <row r="12" spans="1:6" ht="12" customHeight="1" x14ac:dyDescent="0.2">
      <c r="A12" s="416"/>
      <c r="B12" s="416"/>
      <c r="C12" s="416"/>
      <c r="D12" s="416"/>
      <c r="E12" s="413"/>
      <c r="F12" s="413"/>
    </row>
    <row r="13" spans="1:6" ht="20.100000000000001" customHeight="1" x14ac:dyDescent="0.2">
      <c r="A13" s="417" t="s">
        <v>369</v>
      </c>
      <c r="B13" s="417"/>
      <c r="C13" s="1334" t="s">
        <v>341</v>
      </c>
      <c r="D13" s="1334"/>
      <c r="E13" s="413"/>
      <c r="F13" s="413"/>
    </row>
    <row r="14" spans="1:6" ht="20.100000000000001" customHeight="1" x14ac:dyDescent="0.2">
      <c r="A14" s="417" t="s">
        <v>377</v>
      </c>
      <c r="B14" s="417"/>
      <c r="C14" s="1295" t="e">
        <f>'RT03-F12 °'!D9</f>
        <v>#N/A</v>
      </c>
      <c r="D14" s="1295"/>
      <c r="E14" s="413"/>
      <c r="F14" s="413"/>
    </row>
    <row r="15" spans="1:6" ht="20.100000000000001" customHeight="1" x14ac:dyDescent="0.2">
      <c r="A15" s="1295" t="s">
        <v>378</v>
      </c>
      <c r="B15" s="1295"/>
      <c r="C15" s="1295" t="e">
        <f>'RT03-F12 °'!D11</f>
        <v>#N/A</v>
      </c>
      <c r="D15" s="1295"/>
      <c r="E15" s="413"/>
      <c r="F15" s="413"/>
    </row>
    <row r="16" spans="1:6" ht="20.100000000000001" customHeight="1" x14ac:dyDescent="0.2">
      <c r="A16" s="417" t="s">
        <v>372</v>
      </c>
      <c r="B16" s="417"/>
      <c r="C16" s="1295" t="e">
        <f>'RT03-F12 °'!D10</f>
        <v>#N/A</v>
      </c>
      <c r="D16" s="1295"/>
      <c r="E16" s="413"/>
      <c r="F16" s="413"/>
    </row>
    <row r="17" spans="1:6" ht="20.100000000000001" customHeight="1" x14ac:dyDescent="0.2">
      <c r="A17" s="1295" t="s">
        <v>373</v>
      </c>
      <c r="B17" s="1295"/>
      <c r="C17" s="418" t="e">
        <f>'RT03-F12 °'!D12</f>
        <v>#N/A</v>
      </c>
      <c r="D17" s="411" t="s">
        <v>83</v>
      </c>
      <c r="E17" s="411"/>
      <c r="F17" s="411"/>
    </row>
    <row r="18" spans="1:6" ht="20.100000000000001" customHeight="1" x14ac:dyDescent="0.2">
      <c r="A18" s="1295" t="s">
        <v>374</v>
      </c>
      <c r="B18" s="1295"/>
      <c r="C18" s="418" t="e">
        <f>'RT03-F12 °'!D13</f>
        <v>#N/A</v>
      </c>
      <c r="D18" s="411" t="s">
        <v>83</v>
      </c>
      <c r="E18" s="411"/>
      <c r="F18" s="411"/>
    </row>
    <row r="19" spans="1:6" ht="20.100000000000001" customHeight="1" x14ac:dyDescent="0.2">
      <c r="A19" s="1295" t="s">
        <v>357</v>
      </c>
      <c r="B19" s="1295"/>
      <c r="C19" s="419" t="e">
        <f>'RT03-F12 °'!D14</f>
        <v>#N/A</v>
      </c>
      <c r="D19" s="411" t="s">
        <v>83</v>
      </c>
      <c r="E19" s="411"/>
      <c r="F19" s="411"/>
    </row>
    <row r="20" spans="1:6" ht="20.100000000000001" customHeight="1" x14ac:dyDescent="0.2">
      <c r="A20" s="1295" t="s">
        <v>112</v>
      </c>
      <c r="B20" s="1295"/>
      <c r="C20" s="500" t="e">
        <f>'RT03-F12 °'!D15</f>
        <v>#N/A</v>
      </c>
      <c r="D20" s="411" t="s">
        <v>83</v>
      </c>
      <c r="E20" s="411"/>
      <c r="F20" s="411"/>
    </row>
    <row r="22" spans="1:6" ht="20.100000000000001" customHeight="1" x14ac:dyDescent="0.2">
      <c r="A22" s="1291" t="s">
        <v>342</v>
      </c>
      <c r="B22" s="1291"/>
      <c r="C22" s="1291"/>
      <c r="D22" s="1291"/>
      <c r="E22" s="1291"/>
      <c r="F22" s="1291"/>
    </row>
    <row r="23" spans="1:6" ht="12" customHeight="1" x14ac:dyDescent="0.2">
      <c r="A23" s="487"/>
      <c r="B23" s="487"/>
      <c r="C23" s="487"/>
      <c r="D23" s="487"/>
      <c r="E23" s="487"/>
      <c r="F23" s="487"/>
    </row>
    <row r="24" spans="1:6" ht="17.100000000000001" customHeight="1" x14ac:dyDescent="0.2">
      <c r="A24" s="1328" t="e">
        <f>C7</f>
        <v>#N/A</v>
      </c>
      <c r="B24" s="1328"/>
      <c r="C24" s="1328"/>
      <c r="D24" s="1328"/>
      <c r="E24" s="1328"/>
      <c r="F24" s="1328"/>
    </row>
    <row r="25" spans="1:6" ht="17.100000000000001" customHeight="1" x14ac:dyDescent="0.2">
      <c r="A25" s="1328" t="e">
        <f>C6</f>
        <v>#N/A</v>
      </c>
      <c r="B25" s="1328"/>
      <c r="C25" s="1328"/>
      <c r="D25" s="1328"/>
      <c r="E25" s="1328"/>
      <c r="F25" s="1328"/>
    </row>
    <row r="26" spans="1:6" ht="20.100000000000001" customHeight="1" x14ac:dyDescent="0.2">
      <c r="A26" s="421"/>
      <c r="B26" s="408"/>
      <c r="C26" s="421"/>
      <c r="D26" s="408"/>
      <c r="E26" s="420"/>
      <c r="F26" s="420"/>
    </row>
    <row r="27" spans="1:6" ht="20.100000000000001" customHeight="1" x14ac:dyDescent="0.2">
      <c r="A27" s="1291" t="s">
        <v>343</v>
      </c>
      <c r="B27" s="1291"/>
      <c r="C27" s="1329" t="e">
        <f>'RT03-F12 °'!D6</f>
        <v>#N/A</v>
      </c>
      <c r="D27" s="1329"/>
      <c r="E27" s="1329"/>
      <c r="F27" s="420"/>
    </row>
    <row r="28" spans="1:6" ht="20.100000000000001" customHeight="1" x14ac:dyDescent="0.2">
      <c r="D28" s="422"/>
      <c r="E28" s="408"/>
      <c r="F28" s="408"/>
    </row>
    <row r="29" spans="1:6" ht="20.100000000000001" customHeight="1" x14ac:dyDescent="0.2">
      <c r="A29" s="1330" t="s">
        <v>344</v>
      </c>
      <c r="B29" s="1330"/>
      <c r="C29" s="1330"/>
      <c r="D29" s="1330"/>
      <c r="E29" s="1330"/>
      <c r="F29" s="1330"/>
    </row>
    <row r="30" spans="1:6" ht="12.75" customHeight="1" x14ac:dyDescent="0.2">
      <c r="A30" s="423"/>
      <c r="B30" s="423"/>
      <c r="C30" s="423"/>
      <c r="D30" s="422"/>
      <c r="E30" s="408"/>
      <c r="F30" s="408"/>
    </row>
    <row r="31" spans="1:6" ht="25.5" customHeight="1" x14ac:dyDescent="0.2">
      <c r="A31" s="1272" t="s">
        <v>358</v>
      </c>
      <c r="B31" s="1272"/>
      <c r="C31" s="1272"/>
      <c r="D31" s="1272"/>
      <c r="E31" s="1272"/>
      <c r="F31" s="1272"/>
    </row>
    <row r="32" spans="1:6" ht="25.5" customHeight="1" x14ac:dyDescent="0.2">
      <c r="A32" s="1272"/>
      <c r="B32" s="1272"/>
      <c r="C32" s="1272"/>
      <c r="D32" s="1272"/>
      <c r="E32" s="1272"/>
      <c r="F32" s="1272"/>
    </row>
    <row r="33" spans="1:6" ht="20.100000000000001" customHeight="1" x14ac:dyDescent="0.2">
      <c r="A33" s="417"/>
      <c r="B33" s="417"/>
      <c r="C33" s="417"/>
      <c r="D33" s="417"/>
      <c r="E33" s="417"/>
      <c r="F33" s="417"/>
    </row>
    <row r="34" spans="1:6" ht="20.100000000000001" customHeight="1" x14ac:dyDescent="0.2">
      <c r="A34" s="1291" t="s">
        <v>345</v>
      </c>
      <c r="B34" s="1291"/>
      <c r="C34" s="1291"/>
      <c r="D34" s="1291"/>
      <c r="E34" s="408"/>
      <c r="F34" s="408"/>
    </row>
    <row r="35" spans="1:6" ht="12" customHeight="1" thickBot="1" x14ac:dyDescent="0.25">
      <c r="A35" s="425"/>
      <c r="B35" s="425"/>
      <c r="C35" s="425"/>
      <c r="D35" s="408"/>
      <c r="E35" s="408"/>
      <c r="F35" s="408"/>
    </row>
    <row r="36" spans="1:6" ht="39" customHeight="1" thickBot="1" x14ac:dyDescent="0.25">
      <c r="A36" s="446" t="s">
        <v>80</v>
      </c>
      <c r="B36" s="488" t="s">
        <v>81</v>
      </c>
      <c r="C36" s="488" t="s">
        <v>82</v>
      </c>
      <c r="D36" s="408"/>
      <c r="E36" s="408"/>
      <c r="F36" s="408"/>
    </row>
    <row r="37" spans="1:6" ht="39" customHeight="1" thickBot="1" x14ac:dyDescent="0.25">
      <c r="A37" s="489" t="e">
        <f>'RT03-F12 °'!E65</f>
        <v>#N/A</v>
      </c>
      <c r="B37" s="490" t="e">
        <f>'RT03-F12 °'!G65</f>
        <v>#N/A</v>
      </c>
      <c r="C37" s="490" t="e">
        <f>'RT03-F12 °'!I65</f>
        <v>#N/A</v>
      </c>
      <c r="D37" s="408"/>
      <c r="E37" s="408"/>
      <c r="F37" s="408"/>
    </row>
    <row r="38" spans="1:6" ht="15" customHeight="1" x14ac:dyDescent="0.2">
      <c r="A38" s="1331" t="s">
        <v>366</v>
      </c>
      <c r="B38" s="1331"/>
      <c r="C38" s="1331"/>
      <c r="D38" s="1331"/>
      <c r="E38" s="1331"/>
      <c r="F38" s="1331"/>
    </row>
    <row r="39" spans="1:6" ht="20.100000000000001" customHeight="1" x14ac:dyDescent="0.2">
      <c r="A39" s="425"/>
      <c r="B39" s="425"/>
      <c r="C39" s="425"/>
      <c r="D39" s="408"/>
      <c r="E39" s="408"/>
      <c r="F39" s="408"/>
    </row>
    <row r="40" spans="1:6" ht="120" customHeight="1" x14ac:dyDescent="0.2">
      <c r="A40" s="425"/>
      <c r="B40" s="425"/>
      <c r="C40" s="425"/>
      <c r="D40" s="408"/>
      <c r="E40" s="408"/>
      <c r="F40" s="408"/>
    </row>
    <row r="41" spans="1:6" ht="18" customHeight="1" x14ac:dyDescent="0.2">
      <c r="A41" s="425"/>
      <c r="B41" s="425"/>
      <c r="C41" s="425"/>
      <c r="D41" s="1296" t="s">
        <v>380</v>
      </c>
      <c r="E41" s="1296"/>
      <c r="F41" s="406" t="e">
        <f>F2</f>
        <v>#N/A</v>
      </c>
    </row>
    <row r="42" spans="1:6" ht="20.100000000000001" customHeight="1" x14ac:dyDescent="0.2">
      <c r="A42" s="1327" t="s">
        <v>360</v>
      </c>
      <c r="B42" s="1327"/>
      <c r="C42" s="1327"/>
      <c r="D42" s="1327"/>
      <c r="E42" s="1327"/>
      <c r="F42" s="1327"/>
    </row>
    <row r="43" spans="1:6" ht="12" customHeight="1" x14ac:dyDescent="0.2">
      <c r="A43" s="426"/>
      <c r="B43" s="426"/>
      <c r="C43" s="426"/>
      <c r="D43" s="426"/>
      <c r="E43" s="426"/>
      <c r="F43" s="426"/>
    </row>
    <row r="44" spans="1:6" ht="60" customHeight="1" x14ac:dyDescent="0.2">
      <c r="A44" s="1312" t="s">
        <v>346</v>
      </c>
      <c r="B44" s="1312"/>
      <c r="C44" s="1312"/>
      <c r="D44" s="1312"/>
      <c r="E44" s="1312"/>
      <c r="F44" s="1312"/>
    </row>
    <row r="45" spans="1:6" ht="12" customHeight="1" thickBot="1" x14ac:dyDescent="0.25">
      <c r="A45" s="427"/>
      <c r="B45" s="427"/>
      <c r="C45" s="427"/>
      <c r="D45" s="427"/>
      <c r="E45" s="427"/>
      <c r="F45" s="427"/>
    </row>
    <row r="46" spans="1:6" ht="27.95" customHeight="1" thickBot="1" x14ac:dyDescent="0.25">
      <c r="A46" s="1313" t="s">
        <v>362</v>
      </c>
      <c r="B46" s="1314"/>
      <c r="C46" s="1315" t="e">
        <f>'RT03-F12 °'!I12</f>
        <v>#N/A</v>
      </c>
      <c r="D46" s="1316"/>
      <c r="E46" s="425"/>
      <c r="F46" s="425"/>
    </row>
    <row r="47" spans="1:6" ht="27.95" customHeight="1" thickBot="1" x14ac:dyDescent="0.25">
      <c r="A47" s="1317" t="s">
        <v>361</v>
      </c>
      <c r="B47" s="1318"/>
      <c r="C47" s="1319"/>
      <c r="D47" s="1320"/>
      <c r="E47" s="408"/>
      <c r="F47" s="408"/>
    </row>
    <row r="48" spans="1:6" ht="27.95" customHeight="1" thickBot="1" x14ac:dyDescent="0.25">
      <c r="A48" s="1317" t="s">
        <v>367</v>
      </c>
      <c r="B48" s="1318"/>
      <c r="C48" s="1321" t="e">
        <f>'RT03-F12 °'!I13</f>
        <v>#N/A</v>
      </c>
      <c r="D48" s="1322"/>
      <c r="E48" s="408"/>
      <c r="F48" s="408"/>
    </row>
    <row r="49" spans="1:6" ht="27.95" customHeight="1" thickBot="1" x14ac:dyDescent="0.25">
      <c r="A49" s="1323" t="s">
        <v>216</v>
      </c>
      <c r="B49" s="1324"/>
      <c r="C49" s="1325" t="e">
        <f>'RT03-F12 °'!I14</f>
        <v>#N/A</v>
      </c>
      <c r="D49" s="1326"/>
      <c r="E49" s="408"/>
      <c r="F49" s="408"/>
    </row>
    <row r="50" spans="1:6" ht="27.95" customHeight="1" thickBot="1" x14ac:dyDescent="0.25">
      <c r="A50" s="1317" t="s">
        <v>363</v>
      </c>
      <c r="B50" s="1318"/>
      <c r="C50" s="1319"/>
      <c r="D50" s="1320"/>
      <c r="E50" s="408"/>
      <c r="F50" s="408"/>
    </row>
    <row r="51" spans="1:6" ht="20.100000000000001" customHeight="1" x14ac:dyDescent="0.2">
      <c r="A51" s="422"/>
      <c r="B51" s="422"/>
      <c r="C51" s="422"/>
      <c r="D51" s="408"/>
      <c r="E51" s="408"/>
      <c r="F51" s="408"/>
    </row>
    <row r="52" spans="1:6" ht="20.100000000000001" customHeight="1" x14ac:dyDescent="0.2">
      <c r="A52" s="1327" t="s">
        <v>347</v>
      </c>
      <c r="B52" s="1327"/>
      <c r="C52" s="1327"/>
      <c r="D52" s="1327"/>
      <c r="E52" s="1327"/>
      <c r="F52" s="1327"/>
    </row>
    <row r="53" spans="1:6" ht="12" customHeight="1" x14ac:dyDescent="0.2">
      <c r="A53" s="425"/>
      <c r="B53" s="425"/>
      <c r="C53" s="425"/>
      <c r="D53" s="425"/>
      <c r="E53" s="425"/>
      <c r="F53" s="425"/>
    </row>
    <row r="54" spans="1:6" ht="20.100000000000001" customHeight="1" x14ac:dyDescent="0.2">
      <c r="A54" s="1290" t="s">
        <v>85</v>
      </c>
      <c r="B54" s="1290"/>
      <c r="C54" s="1290"/>
      <c r="D54" s="425"/>
      <c r="E54" s="425"/>
      <c r="F54" s="425"/>
    </row>
    <row r="55" spans="1:6" ht="12" customHeight="1" thickBot="1" x14ac:dyDescent="0.25">
      <c r="A55" s="425"/>
      <c r="B55" s="425"/>
      <c r="C55" s="425"/>
      <c r="D55" s="408"/>
      <c r="E55" s="408"/>
      <c r="F55" s="408"/>
    </row>
    <row r="56" spans="1:6" ht="27.95" customHeight="1" thickBot="1" x14ac:dyDescent="0.25">
      <c r="A56" s="1299" t="s">
        <v>302</v>
      </c>
      <c r="B56" s="1300"/>
      <c r="C56" s="1301"/>
      <c r="D56" s="425"/>
      <c r="E56" s="425"/>
      <c r="F56" s="425"/>
    </row>
    <row r="57" spans="1:6" ht="27.95" customHeight="1" thickBot="1" x14ac:dyDescent="0.25">
      <c r="A57" s="428" t="str">
        <f>'RT03-F12 °'!C34</f>
        <v>Carga</v>
      </c>
      <c r="B57" s="429">
        <f>'RT03-F12 °'!E34</f>
        <v>0</v>
      </c>
      <c r="C57" s="430" t="str">
        <f>'RT03-F12 °'!D34</f>
        <v>(g)</v>
      </c>
      <c r="D57" s="425"/>
      <c r="E57" s="482" t="s">
        <v>84</v>
      </c>
      <c r="F57" s="425"/>
    </row>
    <row r="58" spans="1:6" ht="27.95" customHeight="1" thickBot="1" x14ac:dyDescent="0.25">
      <c r="A58" s="431" t="str">
        <f>'RT03-F12 °'!B35</f>
        <v>Posición</v>
      </c>
      <c r="B58" s="432" t="str">
        <f>'RT03-F12 °'!B36</f>
        <v>Indicación (g)</v>
      </c>
      <c r="C58" s="433" t="s">
        <v>128</v>
      </c>
      <c r="D58" s="425"/>
      <c r="E58" s="425"/>
      <c r="F58" s="425"/>
    </row>
    <row r="59" spans="1:6" ht="27.95" customHeight="1" x14ac:dyDescent="0.2">
      <c r="A59" s="434">
        <f>'RT03-F12 °'!C35</f>
        <v>1</v>
      </c>
      <c r="B59" s="435">
        <f>'RT03-F12 °'!C36</f>
        <v>0</v>
      </c>
      <c r="C59" s="436">
        <f>'RT03-F12 °'!C37</f>
        <v>0</v>
      </c>
      <c r="D59" s="425"/>
      <c r="F59" s="425"/>
    </row>
    <row r="60" spans="1:6" ht="27.95" customHeight="1" x14ac:dyDescent="0.2">
      <c r="A60" s="437">
        <f>'RT03-F12 °'!D35</f>
        <v>2</v>
      </c>
      <c r="B60" s="129">
        <f>'RT03-F12 °'!D36</f>
        <v>0</v>
      </c>
      <c r="C60" s="438">
        <f>'RT03-F12 °'!D37</f>
        <v>0</v>
      </c>
      <c r="D60" s="425"/>
      <c r="E60" s="425"/>
      <c r="F60" s="425"/>
    </row>
    <row r="61" spans="1:6" ht="27.95" customHeight="1" x14ac:dyDescent="0.2">
      <c r="A61" s="437">
        <f>'RT03-F12 °'!E35</f>
        <v>3</v>
      </c>
      <c r="B61" s="129">
        <f>'RT03-F12 °'!E36</f>
        <v>0</v>
      </c>
      <c r="C61" s="438">
        <f>'RT03-F12 °'!E37</f>
        <v>0</v>
      </c>
      <c r="D61" s="425"/>
      <c r="E61" s="425"/>
      <c r="F61" s="425"/>
    </row>
    <row r="62" spans="1:6" ht="27.95" customHeight="1" x14ac:dyDescent="0.2">
      <c r="A62" s="437">
        <f>'RT03-F12 °'!F35</f>
        <v>4</v>
      </c>
      <c r="B62" s="129">
        <f>'RT03-F12 °'!F36</f>
        <v>0</v>
      </c>
      <c r="C62" s="438">
        <f>'RT03-F12 °'!F37</f>
        <v>0</v>
      </c>
      <c r="D62" s="425"/>
      <c r="E62" s="425"/>
      <c r="F62" s="425"/>
    </row>
    <row r="63" spans="1:6" ht="27.95" customHeight="1" thickBot="1" x14ac:dyDescent="0.25">
      <c r="A63" s="439">
        <f>'RT03-F12 °'!G35</f>
        <v>5</v>
      </c>
      <c r="B63" s="440">
        <f>'RT03-F12 °'!G36</f>
        <v>0</v>
      </c>
      <c r="C63" s="441">
        <f>'RT03-F12 °'!G37</f>
        <v>0</v>
      </c>
      <c r="D63" s="425"/>
      <c r="E63" s="425"/>
      <c r="F63" s="425"/>
    </row>
    <row r="64" spans="1:6" ht="27.95" customHeight="1" thickBot="1" x14ac:dyDescent="0.25">
      <c r="A64" s="1302" t="s">
        <v>348</v>
      </c>
      <c r="B64" s="1303"/>
      <c r="C64" s="499">
        <f>'RT03-F12 °'!C39</f>
        <v>0</v>
      </c>
      <c r="D64" s="425"/>
      <c r="E64" s="425"/>
      <c r="F64" s="425"/>
    </row>
    <row r="65" spans="1:6" ht="12" customHeight="1" x14ac:dyDescent="0.2">
      <c r="A65" s="422"/>
      <c r="B65" s="442"/>
      <c r="C65" s="424"/>
      <c r="D65" s="425"/>
      <c r="E65" s="425"/>
      <c r="F65" s="425"/>
    </row>
    <row r="66" spans="1:6" ht="20.100000000000001" customHeight="1" x14ac:dyDescent="0.2">
      <c r="A66" s="1304" t="s">
        <v>364</v>
      </c>
      <c r="B66" s="1304"/>
      <c r="C66" s="1304"/>
      <c r="D66" s="1304"/>
      <c r="E66" s="1304"/>
      <c r="F66" s="1304"/>
    </row>
    <row r="67" spans="1:6" ht="20.100000000000001" customHeight="1" x14ac:dyDescent="0.2">
      <c r="A67" s="1304"/>
      <c r="B67" s="1304"/>
      <c r="C67" s="1304"/>
      <c r="D67" s="1304"/>
      <c r="E67" s="1304"/>
      <c r="F67" s="1304"/>
    </row>
    <row r="68" spans="1:6" ht="20.100000000000001" customHeight="1" x14ac:dyDescent="0.2">
      <c r="A68" s="1304"/>
      <c r="B68" s="1304"/>
      <c r="C68" s="1304"/>
      <c r="D68" s="1304"/>
      <c r="E68" s="1304"/>
      <c r="F68" s="1304"/>
    </row>
    <row r="69" spans="1:6" ht="20.100000000000001" customHeight="1" x14ac:dyDescent="0.2">
      <c r="A69" s="443"/>
      <c r="B69" s="443"/>
      <c r="C69" s="443"/>
      <c r="D69" s="443"/>
      <c r="E69" s="443"/>
      <c r="F69" s="443"/>
    </row>
    <row r="70" spans="1:6" ht="120" customHeight="1" x14ac:dyDescent="0.2">
      <c r="A70" s="443"/>
      <c r="B70" s="443"/>
      <c r="C70" s="443"/>
      <c r="D70" s="443"/>
      <c r="E70" s="443"/>
      <c r="F70" s="443"/>
    </row>
    <row r="71" spans="1:6" ht="18" customHeight="1" x14ac:dyDescent="0.2">
      <c r="A71" s="443"/>
      <c r="B71" s="443"/>
      <c r="C71" s="443"/>
      <c r="D71" s="1296" t="s">
        <v>379</v>
      </c>
      <c r="E71" s="1296"/>
      <c r="F71" s="406" t="e">
        <f>F2</f>
        <v>#N/A</v>
      </c>
    </row>
    <row r="72" spans="1:6" ht="15" customHeight="1" x14ac:dyDescent="0.2">
      <c r="A72" s="1290" t="s">
        <v>87</v>
      </c>
      <c r="B72" s="1290"/>
      <c r="E72" s="422"/>
      <c r="F72" s="422"/>
    </row>
    <row r="73" spans="1:6" ht="12" customHeight="1" thickBot="1" x14ac:dyDescent="0.25">
      <c r="E73" s="422"/>
    </row>
    <row r="74" spans="1:6" ht="15" customHeight="1" thickBot="1" x14ac:dyDescent="0.25">
      <c r="A74" s="1305" t="s">
        <v>303</v>
      </c>
      <c r="B74" s="1306"/>
      <c r="C74" s="1306"/>
      <c r="D74" s="1307"/>
      <c r="E74" s="422"/>
      <c r="F74" s="422"/>
    </row>
    <row r="75" spans="1:6" ht="20.100000000000001" customHeight="1" thickBot="1" x14ac:dyDescent="0.25">
      <c r="A75" s="444" t="str">
        <f>'RT03-F12 °'!A43</f>
        <v>Cargas (g)</v>
      </c>
      <c r="B75" s="445">
        <f>'RT03-F12 °'!A44</f>
        <v>0</v>
      </c>
      <c r="C75" s="445">
        <f>'RT03-F12 °'!A45</f>
        <v>0</v>
      </c>
      <c r="D75" s="445">
        <f>'RT03-F12 °'!A46</f>
        <v>0</v>
      </c>
      <c r="E75" s="422"/>
      <c r="F75" s="422"/>
    </row>
    <row r="76" spans="1:6" ht="30" customHeight="1" thickBot="1" x14ac:dyDescent="0.25">
      <c r="A76" s="446" t="s">
        <v>307</v>
      </c>
      <c r="B76" s="446" t="s">
        <v>86</v>
      </c>
      <c r="C76" s="446" t="s">
        <v>86</v>
      </c>
      <c r="D76" s="446" t="s">
        <v>86</v>
      </c>
      <c r="E76" s="422"/>
      <c r="F76" s="422"/>
    </row>
    <row r="77" spans="1:6" ht="20.100000000000001" customHeight="1" x14ac:dyDescent="0.2">
      <c r="A77" s="447">
        <f>'RT03-F12 °'!B43</f>
        <v>1</v>
      </c>
      <c r="B77" s="448">
        <f>'RT03-F12 °'!B44</f>
        <v>0</v>
      </c>
      <c r="C77" s="448">
        <f>'RT03-F12 °'!B45</f>
        <v>0</v>
      </c>
      <c r="D77" s="448">
        <f>'RT03-F12 °'!B46</f>
        <v>0</v>
      </c>
      <c r="E77" s="422"/>
      <c r="F77" s="422"/>
    </row>
    <row r="78" spans="1:6" ht="20.100000000000001" customHeight="1" x14ac:dyDescent="0.2">
      <c r="A78" s="447">
        <f>'RT03-F12 °'!C43</f>
        <v>2</v>
      </c>
      <c r="B78" s="129">
        <f>'RT03-F12 °'!C44</f>
        <v>0</v>
      </c>
      <c r="C78" s="129">
        <f>'RT03-F12 °'!C45</f>
        <v>0</v>
      </c>
      <c r="D78" s="129">
        <f>'RT03-F12 °'!C46</f>
        <v>0</v>
      </c>
      <c r="E78" s="422"/>
      <c r="F78" s="422"/>
    </row>
    <row r="79" spans="1:6" ht="20.100000000000001" customHeight="1" x14ac:dyDescent="0.2">
      <c r="A79" s="447">
        <f>'RT03-F12 °'!D43</f>
        <v>3</v>
      </c>
      <c r="B79" s="129">
        <f>'RT03-F12 °'!D44</f>
        <v>0</v>
      </c>
      <c r="C79" s="129">
        <f>'RT03-F12 °'!D45</f>
        <v>0</v>
      </c>
      <c r="D79" s="129">
        <f>'RT03-F12 °'!D46</f>
        <v>0</v>
      </c>
      <c r="E79" s="422"/>
      <c r="F79" s="422"/>
    </row>
    <row r="80" spans="1:6" ht="20.100000000000001" customHeight="1" x14ac:dyDescent="0.2">
      <c r="A80" s="447">
        <f>'RT03-F12 °'!E43</f>
        <v>4</v>
      </c>
      <c r="B80" s="129">
        <f>'RT03-F12 °'!E44</f>
        <v>0</v>
      </c>
      <c r="C80" s="129">
        <f>'RT03-F12 °'!E45</f>
        <v>0</v>
      </c>
      <c r="D80" s="129">
        <f>'RT03-F12 °'!E46</f>
        <v>0</v>
      </c>
      <c r="E80" s="422"/>
      <c r="F80" s="422"/>
    </row>
    <row r="81" spans="1:6" ht="20.100000000000001" customHeight="1" x14ac:dyDescent="0.2">
      <c r="A81" s="447">
        <f>'RT03-F12 °'!F43</f>
        <v>5</v>
      </c>
      <c r="B81" s="129">
        <f>'RT03-F12 °'!F44</f>
        <v>0</v>
      </c>
      <c r="C81" s="129">
        <f>'RT03-F12 °'!F45</f>
        <v>0</v>
      </c>
      <c r="D81" s="129">
        <f>'RT03-F12 °'!F46</f>
        <v>0</v>
      </c>
      <c r="E81" s="422"/>
      <c r="F81" s="422"/>
    </row>
    <row r="82" spans="1:6" ht="20.100000000000001" customHeight="1" x14ac:dyDescent="0.2">
      <c r="A82" s="447">
        <f>'RT03-F12 °'!G43</f>
        <v>6</v>
      </c>
      <c r="B82" s="129">
        <f>'RT03-F12 °'!G44</f>
        <v>0</v>
      </c>
      <c r="C82" s="129">
        <f>'RT03-F12 °'!G45</f>
        <v>0</v>
      </c>
      <c r="D82" s="129">
        <f>'RT03-F12 °'!G46</f>
        <v>0</v>
      </c>
      <c r="E82" s="422"/>
      <c r="F82" s="422"/>
    </row>
    <row r="83" spans="1:6" ht="20.100000000000001" customHeight="1" x14ac:dyDescent="0.2">
      <c r="A83" s="447">
        <f>'RT03-F12 °'!H43</f>
        <v>7</v>
      </c>
      <c r="B83" s="129">
        <f>'RT03-F12 °'!H44</f>
        <v>0</v>
      </c>
      <c r="C83" s="129">
        <f>'RT03-F12 °'!H45</f>
        <v>0</v>
      </c>
      <c r="D83" s="129">
        <f>'RT03-F12 °'!H46</f>
        <v>0</v>
      </c>
      <c r="E83" s="422"/>
      <c r="F83" s="422"/>
    </row>
    <row r="84" spans="1:6" ht="20.100000000000001" customHeight="1" x14ac:dyDescent="0.2">
      <c r="A84" s="447">
        <f>'RT03-F12 °'!I43</f>
        <v>8</v>
      </c>
      <c r="B84" s="129">
        <f>'RT03-F12 °'!I44</f>
        <v>0</v>
      </c>
      <c r="C84" s="129">
        <f>'RT03-F12 °'!I45</f>
        <v>0</v>
      </c>
      <c r="D84" s="129">
        <f>'RT03-F12 °'!I46</f>
        <v>0</v>
      </c>
      <c r="E84" s="422"/>
      <c r="F84" s="422"/>
    </row>
    <row r="85" spans="1:6" ht="20.100000000000001" customHeight="1" x14ac:dyDescent="0.2">
      <c r="A85" s="447">
        <f>'RT03-F12 °'!J43</f>
        <v>9</v>
      </c>
      <c r="B85" s="129">
        <f>'RT03-F12 °'!J44</f>
        <v>0</v>
      </c>
      <c r="C85" s="129">
        <f>'RT03-F12 °'!J45</f>
        <v>0</v>
      </c>
      <c r="D85" s="129">
        <f>'RT03-F12 °'!J46</f>
        <v>0</v>
      </c>
      <c r="E85" s="422"/>
      <c r="F85" s="422"/>
    </row>
    <row r="86" spans="1:6" ht="20.100000000000001" customHeight="1" x14ac:dyDescent="0.2">
      <c r="A86" s="447">
        <f>'RT03-F12 °'!K43</f>
        <v>10</v>
      </c>
      <c r="B86" s="129">
        <f>'RT03-F12 °'!K44</f>
        <v>0</v>
      </c>
      <c r="C86" s="129">
        <f>'RT03-F12 °'!K45</f>
        <v>0</v>
      </c>
      <c r="D86" s="129">
        <f>'RT03-F12 °'!K46</f>
        <v>0</v>
      </c>
      <c r="E86" s="425"/>
      <c r="F86" s="425"/>
    </row>
    <row r="87" spans="1:6" ht="12" customHeight="1" x14ac:dyDescent="0.2">
      <c r="A87" s="408"/>
      <c r="B87" s="408"/>
      <c r="C87" s="408"/>
      <c r="D87" s="425"/>
      <c r="E87" s="425"/>
      <c r="F87" s="425"/>
    </row>
    <row r="88" spans="1:6" ht="15" customHeight="1" x14ac:dyDescent="0.2">
      <c r="A88" s="1308" t="s">
        <v>300</v>
      </c>
      <c r="B88" s="1308"/>
      <c r="C88" s="1308"/>
      <c r="D88" s="1308"/>
      <c r="E88" s="1308"/>
      <c r="F88" s="1308"/>
    </row>
    <row r="89" spans="1:6" ht="15" customHeight="1" x14ac:dyDescent="0.2">
      <c r="A89" s="1308"/>
      <c r="B89" s="1308"/>
      <c r="C89" s="1308"/>
      <c r="D89" s="1308"/>
      <c r="E89" s="1308"/>
      <c r="F89" s="1308"/>
    </row>
    <row r="90" spans="1:6" ht="15" customHeight="1" x14ac:dyDescent="0.2">
      <c r="A90" s="1308"/>
      <c r="B90" s="1308"/>
      <c r="C90" s="1308"/>
      <c r="D90" s="1308"/>
      <c r="E90" s="1308"/>
      <c r="F90" s="1308"/>
    </row>
    <row r="91" spans="1:6" ht="15" customHeight="1" x14ac:dyDescent="0.2">
      <c r="A91" s="1308"/>
      <c r="B91" s="1308"/>
      <c r="C91" s="1308"/>
      <c r="D91" s="1308"/>
      <c r="E91" s="1308"/>
      <c r="F91" s="1308"/>
    </row>
    <row r="92" spans="1:6" ht="12" customHeight="1" x14ac:dyDescent="0.2">
      <c r="E92" s="425"/>
      <c r="F92" s="425"/>
    </row>
    <row r="93" spans="1:6" ht="15" customHeight="1" x14ac:dyDescent="0.2">
      <c r="A93" s="1290" t="s">
        <v>304</v>
      </c>
      <c r="B93" s="1290"/>
      <c r="C93" s="1290"/>
      <c r="D93" s="1290"/>
      <c r="E93" s="408"/>
      <c r="F93" s="408"/>
    </row>
    <row r="94" spans="1:6" ht="15" customHeight="1" thickBot="1" x14ac:dyDescent="0.25"/>
    <row r="95" spans="1:6" ht="15" customHeight="1" thickBot="1" x14ac:dyDescent="0.25">
      <c r="A95" s="1309" t="s">
        <v>299</v>
      </c>
      <c r="B95" s="1310"/>
      <c r="C95" s="1311"/>
      <c r="D95" s="408"/>
      <c r="E95" s="408"/>
      <c r="F95" s="408"/>
    </row>
    <row r="96" spans="1:6" ht="43.5" customHeight="1" thickBot="1" x14ac:dyDescent="0.25">
      <c r="A96" s="449" t="s">
        <v>327</v>
      </c>
      <c r="B96" s="450" t="s">
        <v>329</v>
      </c>
      <c r="C96" s="451" t="s">
        <v>328</v>
      </c>
      <c r="D96" s="408"/>
      <c r="E96" s="408"/>
      <c r="F96" s="408"/>
    </row>
    <row r="97" spans="1:6" ht="19.5" customHeight="1" x14ac:dyDescent="0.2">
      <c r="A97" s="452" t="e">
        <f>'RT03-F12 °'!B55</f>
        <v>#N/A</v>
      </c>
      <c r="B97" s="453">
        <f>'RT03-F12 °'!C55</f>
        <v>0</v>
      </c>
      <c r="C97" s="454" t="e">
        <f>'RT03-F12 °'!D55</f>
        <v>#N/A</v>
      </c>
      <c r="D97" s="408"/>
      <c r="E97" s="408"/>
      <c r="F97" s="408"/>
    </row>
    <row r="98" spans="1:6" ht="20.100000000000001" customHeight="1" x14ac:dyDescent="0.2">
      <c r="A98" s="455" t="e">
        <f>'RT03-F12 °'!B56</f>
        <v>#N/A</v>
      </c>
      <c r="B98" s="456">
        <f>'RT03-F12 °'!C56</f>
        <v>0</v>
      </c>
      <c r="C98" s="454" t="e">
        <f>'RT03-F12 °'!D56</f>
        <v>#N/A</v>
      </c>
      <c r="D98" s="408"/>
      <c r="E98" s="408"/>
      <c r="F98" s="408"/>
    </row>
    <row r="99" spans="1:6" ht="20.100000000000001" customHeight="1" x14ac:dyDescent="0.2">
      <c r="A99" s="455" t="e">
        <f>'RT03-F12 °'!B57</f>
        <v>#N/A</v>
      </c>
      <c r="B99" s="456">
        <f>'RT03-F12 °'!C57</f>
        <v>0</v>
      </c>
      <c r="C99" s="454" t="e">
        <f>'RT03-F12 °'!D57</f>
        <v>#N/A</v>
      </c>
      <c r="D99" s="408"/>
      <c r="E99" s="408"/>
      <c r="F99" s="408"/>
    </row>
    <row r="100" spans="1:6" ht="20.100000000000001" customHeight="1" x14ac:dyDescent="0.2">
      <c r="A100" s="455" t="e">
        <f>'RT03-F12 °'!B58</f>
        <v>#N/A</v>
      </c>
      <c r="B100" s="456">
        <f>'RT03-F12 °'!C58</f>
        <v>0</v>
      </c>
      <c r="C100" s="454" t="e">
        <f>'RT03-F12 °'!D58</f>
        <v>#N/A</v>
      </c>
      <c r="D100" s="408"/>
      <c r="E100" s="408"/>
      <c r="F100" s="408"/>
    </row>
    <row r="101" spans="1:6" ht="20.100000000000001" customHeight="1" x14ac:dyDescent="0.2">
      <c r="A101" s="455" t="e">
        <f>'RT03-F12 °'!B59</f>
        <v>#N/A</v>
      </c>
      <c r="B101" s="456">
        <f>'RT03-F12 °'!C59</f>
        <v>0</v>
      </c>
      <c r="C101" s="454" t="e">
        <f>'RT03-F12 °'!D59</f>
        <v>#N/A</v>
      </c>
      <c r="D101" s="408"/>
      <c r="E101" s="408"/>
      <c r="F101" s="408"/>
    </row>
    <row r="102" spans="1:6" ht="15.95" customHeight="1" thickBot="1" x14ac:dyDescent="0.25">
      <c r="A102" s="457"/>
      <c r="B102" s="457"/>
      <c r="C102" s="457"/>
      <c r="D102" s="408"/>
      <c r="E102" s="408"/>
      <c r="F102" s="457"/>
    </row>
    <row r="103" spans="1:6" ht="15.95" customHeight="1" thickBot="1" x14ac:dyDescent="0.25">
      <c r="A103" s="1309" t="s">
        <v>301</v>
      </c>
      <c r="B103" s="1310"/>
      <c r="C103" s="1311"/>
    </row>
    <row r="104" spans="1:6" ht="26.25" thickBot="1" x14ac:dyDescent="0.25">
      <c r="A104" s="458" t="str">
        <f>'RT03-F12 °'!B54</f>
        <v>Masa  Convencional (g)</v>
      </c>
      <c r="B104" s="446" t="s">
        <v>248</v>
      </c>
      <c r="C104" s="459" t="s">
        <v>359</v>
      </c>
      <c r="E104" s="460"/>
    </row>
    <row r="105" spans="1:6" ht="15.95" customHeight="1" x14ac:dyDescent="0.2">
      <c r="A105" s="461" t="e">
        <f>'RT03-F12 °'!B55</f>
        <v>#N/A</v>
      </c>
      <c r="B105" s="462" t="e">
        <f>'RT03-F12 °'!K55</f>
        <v>#DIV/0!</v>
      </c>
      <c r="C105" s="462" t="e">
        <f>'RT03-F12 °'!F105</f>
        <v>#DIV/0!</v>
      </c>
      <c r="E105" s="460"/>
    </row>
    <row r="106" spans="1:6" ht="15.95" customHeight="1" x14ac:dyDescent="0.2">
      <c r="A106" s="463" t="e">
        <f>'RT03-F12 °'!B56</f>
        <v>#N/A</v>
      </c>
      <c r="B106" s="462" t="e">
        <f>'RT03-F12 °'!K56</f>
        <v>#DIV/0!</v>
      </c>
      <c r="C106" s="462" t="e">
        <f>'RT03-F12 °'!G105</f>
        <v>#DIV/0!</v>
      </c>
      <c r="E106" s="460"/>
    </row>
    <row r="107" spans="1:6" ht="15.95" customHeight="1" x14ac:dyDescent="0.2">
      <c r="A107" s="464" t="e">
        <f>'RT03-F12 °'!B57</f>
        <v>#N/A</v>
      </c>
      <c r="B107" s="462" t="e">
        <f>'RT03-F12 °'!K57</f>
        <v>#DIV/0!</v>
      </c>
      <c r="C107" s="462" t="e">
        <f>'RT03-F12 °'!H105</f>
        <v>#DIV/0!</v>
      </c>
      <c r="E107" s="460"/>
    </row>
    <row r="108" spans="1:6" ht="15.95" customHeight="1" x14ac:dyDescent="0.2">
      <c r="A108" s="463" t="e">
        <f>'RT03-F12 °'!B58</f>
        <v>#N/A</v>
      </c>
      <c r="B108" s="462" t="e">
        <f>'RT03-F12 °'!K58</f>
        <v>#DIV/0!</v>
      </c>
      <c r="C108" s="462" t="e">
        <f>'RT03-F12 °'!I105</f>
        <v>#DIV/0!</v>
      </c>
      <c r="D108" s="422"/>
      <c r="E108" s="460"/>
      <c r="F108" s="422"/>
    </row>
    <row r="109" spans="1:6" ht="15.95" customHeight="1" x14ac:dyDescent="0.2">
      <c r="A109" s="464" t="e">
        <f>'RT03-F12 °'!B59</f>
        <v>#N/A</v>
      </c>
      <c r="B109" s="462" t="e">
        <f>'RT03-F12 °'!K59</f>
        <v>#DIV/0!</v>
      </c>
      <c r="C109" s="462" t="e">
        <f>'RT03-F12 °'!J105</f>
        <v>#DIV/0!</v>
      </c>
      <c r="D109" s="422"/>
      <c r="E109" s="460"/>
      <c r="F109" s="422"/>
    </row>
    <row r="110" spans="1:6" ht="15.95" customHeight="1" x14ac:dyDescent="0.2">
      <c r="A110" s="483"/>
      <c r="B110" s="424"/>
      <c r="C110" s="424"/>
      <c r="D110" s="422"/>
      <c r="E110" s="460"/>
      <c r="F110" s="422"/>
    </row>
    <row r="111" spans="1:6" ht="120" customHeight="1" x14ac:dyDescent="0.2">
      <c r="A111" s="483"/>
      <c r="B111" s="424"/>
      <c r="C111" s="424"/>
      <c r="D111" s="422"/>
      <c r="E111" s="460"/>
      <c r="F111" s="422"/>
    </row>
    <row r="112" spans="1:6" ht="18" customHeight="1" x14ac:dyDescent="0.2">
      <c r="A112" s="483"/>
      <c r="B112" s="424"/>
      <c r="C112" s="424"/>
      <c r="D112" s="1296" t="s">
        <v>380</v>
      </c>
      <c r="E112" s="1296"/>
      <c r="F112" s="406" t="e">
        <f>F2</f>
        <v>#N/A</v>
      </c>
    </row>
    <row r="113" spans="1:6" ht="20.100000000000001" customHeight="1" x14ac:dyDescent="0.2">
      <c r="A113" s="82"/>
      <c r="B113" s="424"/>
      <c r="C113" s="424"/>
      <c r="D113" s="422"/>
      <c r="E113" s="460"/>
      <c r="F113" s="422"/>
    </row>
    <row r="114" spans="1:6" ht="15" customHeight="1" x14ac:dyDescent="0.2">
      <c r="A114" s="457"/>
      <c r="B114" s="424"/>
      <c r="C114" s="424"/>
      <c r="D114" s="408"/>
      <c r="E114" s="408"/>
      <c r="F114" s="408"/>
    </row>
    <row r="115" spans="1:6" ht="15" customHeight="1" x14ac:dyDescent="0.2">
      <c r="A115" s="422"/>
      <c r="B115" s="465"/>
      <c r="C115" s="422"/>
      <c r="D115" s="422"/>
      <c r="E115" s="422"/>
      <c r="F115" s="422"/>
    </row>
    <row r="116" spans="1:6" ht="15" customHeight="1" x14ac:dyDescent="0.2">
      <c r="A116" s="422"/>
      <c r="B116" s="422"/>
      <c r="C116" s="422"/>
      <c r="D116" s="422"/>
      <c r="E116" s="422"/>
      <c r="F116" s="422"/>
    </row>
    <row r="117" spans="1:6" ht="15" customHeight="1" x14ac:dyDescent="0.2">
      <c r="A117" s="422"/>
      <c r="B117" s="422"/>
      <c r="C117" s="422"/>
      <c r="D117" s="422"/>
      <c r="E117" s="422"/>
      <c r="F117" s="422"/>
    </row>
    <row r="118" spans="1:6" ht="15" customHeight="1" x14ac:dyDescent="0.2">
      <c r="A118" s="422"/>
      <c r="B118" s="422"/>
      <c r="C118" s="422"/>
      <c r="D118" s="422"/>
      <c r="E118" s="422"/>
      <c r="F118" s="422"/>
    </row>
    <row r="119" spans="1:6" ht="15" customHeight="1" x14ac:dyDescent="0.2">
      <c r="A119" s="422"/>
      <c r="B119" s="422"/>
      <c r="C119" s="422"/>
      <c r="D119" s="422"/>
      <c r="E119" s="422"/>
      <c r="F119" s="422"/>
    </row>
    <row r="120" spans="1:6" ht="15" customHeight="1" x14ac:dyDescent="0.2">
      <c r="A120" s="422"/>
      <c r="B120" s="422"/>
      <c r="C120" s="422"/>
      <c r="D120" s="422"/>
      <c r="E120" s="422"/>
      <c r="F120" s="422"/>
    </row>
    <row r="121" spans="1:6" ht="15" customHeight="1" x14ac:dyDescent="0.2">
      <c r="A121" s="422"/>
      <c r="B121" s="422"/>
      <c r="C121" s="422"/>
      <c r="D121" s="422"/>
      <c r="E121" s="422"/>
      <c r="F121" s="422"/>
    </row>
    <row r="122" spans="1:6" ht="15" customHeight="1" x14ac:dyDescent="0.2">
      <c r="A122" s="422"/>
      <c r="B122" s="422"/>
      <c r="C122" s="422"/>
      <c r="D122" s="422"/>
      <c r="E122" s="422"/>
      <c r="F122" s="422"/>
    </row>
    <row r="123" spans="1:6" ht="15" customHeight="1" x14ac:dyDescent="0.2">
      <c r="A123" s="422"/>
      <c r="B123" s="422"/>
      <c r="C123" s="422"/>
      <c r="D123" s="422"/>
      <c r="E123" s="422"/>
      <c r="F123" s="422"/>
    </row>
    <row r="124" spans="1:6" ht="15" customHeight="1" x14ac:dyDescent="0.2">
      <c r="A124" s="422"/>
      <c r="B124" s="422"/>
      <c r="C124" s="422"/>
      <c r="D124" s="422"/>
      <c r="E124" s="422"/>
      <c r="F124" s="422"/>
    </row>
    <row r="125" spans="1:6" ht="15" customHeight="1" x14ac:dyDescent="0.2">
      <c r="A125" s="422"/>
      <c r="B125" s="422"/>
      <c r="C125" s="422"/>
      <c r="D125" s="422"/>
      <c r="E125" s="422"/>
      <c r="F125" s="422"/>
    </row>
    <row r="126" spans="1:6" ht="15" customHeight="1" x14ac:dyDescent="0.2">
      <c r="A126" s="422"/>
      <c r="B126" s="422"/>
      <c r="C126" s="422"/>
      <c r="D126" s="422"/>
      <c r="E126" s="422"/>
      <c r="F126" s="422"/>
    </row>
    <row r="127" spans="1:6" ht="15" customHeight="1" x14ac:dyDescent="0.2">
      <c r="D127" s="408"/>
      <c r="E127" s="408"/>
      <c r="F127" s="408"/>
    </row>
    <row r="128" spans="1:6" ht="15" customHeight="1" x14ac:dyDescent="0.2">
      <c r="A128" s="408"/>
      <c r="B128" s="408"/>
      <c r="C128" s="408"/>
      <c r="D128" s="408"/>
      <c r="E128" s="408"/>
      <c r="F128" s="408"/>
    </row>
    <row r="129" spans="1:6" ht="15" customHeight="1" x14ac:dyDescent="0.2">
      <c r="A129" s="408"/>
      <c r="B129" s="408"/>
      <c r="C129" s="408"/>
      <c r="D129" s="408"/>
      <c r="E129" s="408"/>
      <c r="F129" s="408"/>
    </row>
    <row r="130" spans="1:6" ht="15" customHeight="1" x14ac:dyDescent="0.2">
      <c r="A130" s="408"/>
      <c r="B130" s="408"/>
      <c r="C130" s="408"/>
      <c r="D130" s="408"/>
      <c r="E130" s="408"/>
      <c r="F130" s="408"/>
    </row>
    <row r="131" spans="1:6" ht="15" customHeight="1" x14ac:dyDescent="0.2">
      <c r="A131" s="1298" t="s">
        <v>330</v>
      </c>
      <c r="B131" s="1298"/>
      <c r="C131" s="1298"/>
      <c r="D131" s="1298"/>
      <c r="E131" s="1298"/>
      <c r="F131" s="1298"/>
    </row>
    <row r="132" spans="1:6" ht="15" customHeight="1" x14ac:dyDescent="0.2">
      <c r="A132" s="1298"/>
      <c r="B132" s="1298"/>
      <c r="C132" s="1298"/>
      <c r="D132" s="1298"/>
      <c r="E132" s="1298"/>
      <c r="F132" s="1298"/>
    </row>
    <row r="133" spans="1:6" ht="20.100000000000001" customHeight="1" x14ac:dyDescent="0.2">
      <c r="A133" s="1290"/>
      <c r="B133" s="1290"/>
      <c r="C133" s="1290"/>
      <c r="D133" s="408"/>
      <c r="E133" s="408"/>
      <c r="F133" s="408"/>
    </row>
    <row r="134" spans="1:6" ht="20.100000000000001" customHeight="1" x14ac:dyDescent="0.2">
      <c r="A134" s="1291" t="s">
        <v>349</v>
      </c>
      <c r="B134" s="1291"/>
      <c r="C134" s="1291"/>
      <c r="D134" s="1291"/>
      <c r="E134" s="1291"/>
      <c r="F134" s="408"/>
    </row>
    <row r="135" spans="1:6" ht="12" customHeight="1" x14ac:dyDescent="0.2">
      <c r="A135" s="420"/>
      <c r="B135" s="420"/>
      <c r="C135" s="420"/>
      <c r="D135" s="420"/>
      <c r="E135" s="420"/>
      <c r="F135" s="408"/>
    </row>
    <row r="136" spans="1:6" ht="12" customHeight="1" x14ac:dyDescent="0.2">
      <c r="A136" s="1292" t="s">
        <v>365</v>
      </c>
      <c r="B136" s="1292"/>
      <c r="C136" s="1292"/>
      <c r="D136" s="1292"/>
      <c r="E136" s="1292"/>
      <c r="F136" s="1292"/>
    </row>
    <row r="137" spans="1:6" ht="35.25" customHeight="1" x14ac:dyDescent="0.2">
      <c r="A137" s="1292"/>
      <c r="B137" s="1292"/>
      <c r="C137" s="1292"/>
      <c r="D137" s="1292"/>
      <c r="E137" s="1292"/>
      <c r="F137" s="1292"/>
    </row>
    <row r="138" spans="1:6" ht="20.100000000000001" customHeight="1" thickBot="1" x14ac:dyDescent="0.25">
      <c r="A138" s="420"/>
      <c r="B138" s="420"/>
      <c r="C138" s="420"/>
      <c r="D138" s="420"/>
      <c r="E138" s="420"/>
      <c r="F138" s="420"/>
    </row>
    <row r="139" spans="1:6" ht="42" customHeight="1" thickTop="1" thickBot="1" x14ac:dyDescent="0.25">
      <c r="A139" s="466" t="s">
        <v>351</v>
      </c>
      <c r="B139" s="467" t="e">
        <f>IF('RT03-F12 °'!F140&lt;=('DATOS ° '!H157),"0,078",'RT03-F12 °'!F140)</f>
        <v>#N/A</v>
      </c>
      <c r="C139" s="468" t="s">
        <v>305</v>
      </c>
      <c r="D139" s="469" t="e">
        <f>'RT03-F12 °'!H140</f>
        <v>#N/A</v>
      </c>
      <c r="E139" s="467" t="s">
        <v>68</v>
      </c>
      <c r="F139" s="470"/>
    </row>
    <row r="140" spans="1:6" ht="20.100000000000001" customHeight="1" thickTop="1" x14ac:dyDescent="0.35">
      <c r="A140" s="471"/>
      <c r="B140" s="472"/>
      <c r="C140" s="472"/>
      <c r="D140" s="472"/>
      <c r="E140" s="473"/>
      <c r="F140" s="473"/>
    </row>
    <row r="141" spans="1:6" ht="18" customHeight="1" x14ac:dyDescent="0.2">
      <c r="A141" s="1293" t="s">
        <v>88</v>
      </c>
      <c r="B141" s="1293"/>
      <c r="C141" s="1293"/>
      <c r="D141" s="1293"/>
      <c r="E141" s="1293"/>
      <c r="F141" s="1293"/>
    </row>
    <row r="142" spans="1:6" ht="18" customHeight="1" x14ac:dyDescent="0.2">
      <c r="A142" s="1293"/>
      <c r="B142" s="1293"/>
      <c r="C142" s="1293"/>
      <c r="D142" s="1293"/>
      <c r="E142" s="1293"/>
      <c r="F142" s="1293"/>
    </row>
    <row r="143" spans="1:6" ht="18" customHeight="1" x14ac:dyDescent="0.2">
      <c r="A143" s="417"/>
      <c r="B143" s="417"/>
      <c r="C143" s="417"/>
      <c r="D143" s="417"/>
      <c r="E143" s="417"/>
      <c r="F143" s="417"/>
    </row>
    <row r="144" spans="1:6" ht="18" customHeight="1" x14ac:dyDescent="0.2">
      <c r="A144" s="443"/>
      <c r="B144" s="443"/>
      <c r="C144" s="443"/>
      <c r="D144" s="443"/>
      <c r="E144" s="443"/>
      <c r="F144" s="443"/>
    </row>
    <row r="145" spans="1:9" ht="18" customHeight="1" x14ac:dyDescent="0.2">
      <c r="A145" s="443"/>
      <c r="B145" s="443"/>
      <c r="C145" s="443"/>
      <c r="D145" s="443"/>
      <c r="E145" s="443"/>
      <c r="F145" s="443"/>
    </row>
    <row r="146" spans="1:9" ht="18" customHeight="1" thickBot="1" x14ac:dyDescent="0.25">
      <c r="A146" s="443"/>
      <c r="B146" s="443"/>
      <c r="C146" s="443"/>
      <c r="D146" s="474"/>
      <c r="E146" s="474"/>
      <c r="F146" s="474"/>
    </row>
    <row r="147" spans="1:9" ht="20.100000000000001" customHeight="1" thickBot="1" x14ac:dyDescent="0.25">
      <c r="A147" s="475" t="s">
        <v>356</v>
      </c>
      <c r="B147" s="1294" t="s">
        <v>306</v>
      </c>
      <c r="C147" s="1295"/>
      <c r="D147" s="1295"/>
      <c r="E147" s="465"/>
      <c r="F147" s="411"/>
    </row>
    <row r="148" spans="1:9" ht="20.100000000000001" customHeight="1" thickBot="1" x14ac:dyDescent="0.25">
      <c r="A148" s="476" t="s">
        <v>89</v>
      </c>
      <c r="B148" s="1294" t="s">
        <v>90</v>
      </c>
      <c r="C148" s="1295"/>
      <c r="D148" s="1295"/>
      <c r="E148" s="418"/>
      <c r="F148" s="418"/>
      <c r="G148" s="418"/>
      <c r="H148" s="418"/>
      <c r="I148" s="418"/>
    </row>
    <row r="149" spans="1:9" ht="20.100000000000001" customHeight="1" thickBot="1" x14ac:dyDescent="0.25">
      <c r="A149" s="477" t="s">
        <v>91</v>
      </c>
      <c r="B149" s="1294" t="s">
        <v>92</v>
      </c>
      <c r="C149" s="1295"/>
      <c r="D149" s="1295"/>
      <c r="E149" s="411"/>
      <c r="F149" s="411"/>
    </row>
    <row r="150" spans="1:9" ht="18" customHeight="1" x14ac:dyDescent="0.2">
      <c r="E150" s="411"/>
      <c r="F150" s="411"/>
    </row>
    <row r="151" spans="1:9" ht="18" customHeight="1" x14ac:dyDescent="0.2">
      <c r="A151" s="1290"/>
      <c r="B151" s="1290"/>
      <c r="C151" s="1290"/>
      <c r="D151" s="1290"/>
      <c r="E151" s="478"/>
      <c r="F151" s="411"/>
    </row>
    <row r="152" spans="1:9" ht="120" customHeight="1" x14ac:dyDescent="0.2">
      <c r="D152" s="408"/>
      <c r="E152" s="408"/>
      <c r="F152" s="408"/>
    </row>
    <row r="153" spans="1:9" ht="18" customHeight="1" x14ac:dyDescent="0.2">
      <c r="D153" s="1296" t="s">
        <v>379</v>
      </c>
      <c r="E153" s="1296"/>
      <c r="F153" s="406" t="e">
        <f>F2</f>
        <v>#N/A</v>
      </c>
    </row>
    <row r="154" spans="1:9" ht="20.100000000000001" customHeight="1" x14ac:dyDescent="0.2">
      <c r="A154" s="1291" t="s">
        <v>350</v>
      </c>
      <c r="B154" s="1291"/>
      <c r="C154" s="1291"/>
      <c r="D154" s="479"/>
      <c r="E154" s="479"/>
      <c r="F154" s="479"/>
    </row>
    <row r="155" spans="1:9" ht="12" customHeight="1" x14ac:dyDescent="0.2">
      <c r="A155" s="1297" t="s">
        <v>331</v>
      </c>
      <c r="B155" s="1297"/>
      <c r="C155" s="1297"/>
      <c r="D155" s="1297"/>
      <c r="E155" s="1297"/>
      <c r="F155" s="1297"/>
    </row>
    <row r="156" spans="1:9" ht="20.100000000000001" customHeight="1" x14ac:dyDescent="0.2">
      <c r="A156" s="1287"/>
      <c r="B156" s="1287"/>
      <c r="C156" s="1287"/>
      <c r="D156" s="1287"/>
      <c r="E156" s="1287"/>
      <c r="F156" s="1287"/>
    </row>
    <row r="157" spans="1:9" ht="20.100000000000001" customHeight="1" x14ac:dyDescent="0.2">
      <c r="A157" s="1287"/>
      <c r="B157" s="1287"/>
      <c r="C157" s="1287"/>
      <c r="D157" s="1287"/>
      <c r="E157" s="1287"/>
      <c r="F157" s="1287"/>
    </row>
    <row r="158" spans="1:9" ht="20.100000000000001" customHeight="1" x14ac:dyDescent="0.2">
      <c r="A158" s="1287"/>
      <c r="B158" s="1287"/>
      <c r="C158" s="1287"/>
      <c r="D158" s="1287"/>
      <c r="E158" s="1287"/>
      <c r="F158" s="1287"/>
    </row>
    <row r="159" spans="1:9" ht="20.100000000000001" customHeight="1" x14ac:dyDescent="0.2">
      <c r="A159" s="1287"/>
      <c r="B159" s="1287"/>
      <c r="C159" s="1287"/>
      <c r="D159" s="1287"/>
      <c r="E159" s="1287"/>
      <c r="F159" s="1287"/>
    </row>
    <row r="160" spans="1:9" ht="20.100000000000001" customHeight="1" x14ac:dyDescent="0.2">
      <c r="A160" s="1287"/>
      <c r="B160" s="1287"/>
      <c r="C160" s="1287"/>
      <c r="D160" s="1287"/>
      <c r="E160" s="1287"/>
      <c r="F160" s="1287"/>
    </row>
    <row r="161" spans="1:6" ht="20.100000000000001" customHeight="1" x14ac:dyDescent="0.2">
      <c r="A161" s="1287"/>
      <c r="B161" s="1287"/>
      <c r="C161" s="1287"/>
      <c r="D161" s="1287"/>
      <c r="E161" s="1287"/>
      <c r="F161" s="1287"/>
    </row>
    <row r="162" spans="1:6" ht="20.100000000000001" customHeight="1" x14ac:dyDescent="0.2">
      <c r="A162" s="1287"/>
      <c r="B162" s="1287"/>
      <c r="C162" s="1287"/>
      <c r="D162" s="1287"/>
      <c r="E162" s="1287"/>
      <c r="F162" s="1287"/>
    </row>
    <row r="163" spans="1:6" ht="20.100000000000001" customHeight="1" x14ac:dyDescent="0.2">
      <c r="A163" s="1287"/>
      <c r="B163" s="1287"/>
      <c r="C163" s="1287"/>
      <c r="D163" s="1287"/>
      <c r="E163" s="1287"/>
      <c r="F163" s="1287"/>
    </row>
    <row r="164" spans="1:6" ht="20.100000000000001" customHeight="1" x14ac:dyDescent="0.2">
      <c r="A164" s="1287"/>
      <c r="B164" s="1287"/>
      <c r="C164" s="1287"/>
      <c r="D164" s="1287"/>
      <c r="E164" s="1287"/>
      <c r="F164" s="1287"/>
    </row>
    <row r="165" spans="1:6" ht="30" customHeight="1" x14ac:dyDescent="0.2">
      <c r="A165" s="484"/>
      <c r="B165" s="484"/>
      <c r="C165" s="501"/>
      <c r="D165" s="407"/>
      <c r="E165" s="407"/>
      <c r="F165" s="501"/>
    </row>
    <row r="166" spans="1:6" ht="20.100000000000001" customHeight="1" x14ac:dyDescent="0.2">
      <c r="A166" s="1289" t="s">
        <v>309</v>
      </c>
      <c r="B166" s="1289"/>
      <c r="C166" s="1289"/>
    </row>
    <row r="167" spans="1:6" ht="15" customHeight="1" x14ac:dyDescent="0.2">
      <c r="B167" s="480"/>
      <c r="C167" s="481"/>
    </row>
    <row r="168" spans="1:6" ht="15" customHeight="1" x14ac:dyDescent="0.2">
      <c r="A168" s="1288" t="s">
        <v>93</v>
      </c>
      <c r="B168" s="1288"/>
      <c r="C168" s="1288"/>
      <c r="D168" s="1288" t="s">
        <v>113</v>
      </c>
      <c r="E168" s="1288"/>
      <c r="F168" s="1288"/>
    </row>
    <row r="169" spans="1:6" ht="15" customHeight="1" x14ac:dyDescent="0.2">
      <c r="A169" s="1285" t="s">
        <v>352</v>
      </c>
      <c r="B169" s="1285"/>
      <c r="C169" s="1285"/>
      <c r="D169" s="1285" t="s">
        <v>353</v>
      </c>
      <c r="E169" s="1285"/>
      <c r="F169" s="1285"/>
    </row>
    <row r="170" spans="1:6" ht="20.25" customHeight="1" x14ac:dyDescent="0.2">
      <c r="A170" s="1285" t="e">
        <f>VLOOKUP($C$165,'DATOS ° '!$A$113:$D$159,4,FALSE)</f>
        <v>#N/A</v>
      </c>
      <c r="B170" s="1285"/>
      <c r="C170" s="1285"/>
      <c r="D170" s="1285" t="e">
        <f>VLOOKUP($F$165,'DATOS ° '!A156:F159,6,FALSE)</f>
        <v>#N/A</v>
      </c>
      <c r="E170" s="1285"/>
      <c r="F170" s="1285"/>
    </row>
    <row r="171" spans="1:6" ht="15" customHeight="1" x14ac:dyDescent="0.2">
      <c r="A171" s="1285" t="e">
        <f>VLOOKUP($C$165,'DATOS ° '!$A$113:$H$168,2,FALSE)</f>
        <v>#N/A</v>
      </c>
      <c r="B171" s="1285"/>
      <c r="C171" s="1285"/>
      <c r="D171" s="1285" t="e">
        <f>VLOOKUP($F$165,'DATOS ° '!A156:F159,2,FALSE)</f>
        <v>#N/A</v>
      </c>
      <c r="E171" s="1285"/>
      <c r="F171" s="1285"/>
    </row>
    <row r="173" spans="1:6" s="485" customFormat="1" ht="9.9499999999999993" customHeight="1" x14ac:dyDescent="0.2">
      <c r="B173" s="1286" t="s">
        <v>115</v>
      </c>
      <c r="C173" s="1286"/>
      <c r="D173" s="1286"/>
      <c r="E173" s="1286"/>
    </row>
    <row r="174" spans="1:6" ht="15" customHeight="1" x14ac:dyDescent="0.2">
      <c r="B174" s="486"/>
      <c r="C174" s="486"/>
      <c r="D174" s="486"/>
      <c r="E174" s="486"/>
    </row>
  </sheetData>
  <sheetProtection algorithmName="SHA-512" hashValue="g8fOtesI0Rxq5I2bk8bv7D3h4cn/DhBpDY3r1Eati6ZoymBMfvVMuKzPHiPxHcCj+TMIQGZ6IESD8kiX4OHHfg==" saltValue="akcaCrZ43l1rnIqS7WZvlw==" spinCount="100000" sheet="1" objects="1" scenarios="1"/>
  <mergeCells count="86">
    <mergeCell ref="D2:E2"/>
    <mergeCell ref="A3:C3"/>
    <mergeCell ref="A5:B5"/>
    <mergeCell ref="C5:F5"/>
    <mergeCell ref="A6:B6"/>
    <mergeCell ref="C6:D6"/>
    <mergeCell ref="A18:B18"/>
    <mergeCell ref="A7:B7"/>
    <mergeCell ref="C7:D7"/>
    <mergeCell ref="A9:B9"/>
    <mergeCell ref="D9:E9"/>
    <mergeCell ref="A11:F11"/>
    <mergeCell ref="C13:D13"/>
    <mergeCell ref="C14:D14"/>
    <mergeCell ref="A15:B15"/>
    <mergeCell ref="C15:D15"/>
    <mergeCell ref="C16:D16"/>
    <mergeCell ref="A17:B17"/>
    <mergeCell ref="A42:F42"/>
    <mergeCell ref="A19:B19"/>
    <mergeCell ref="A20:B20"/>
    <mergeCell ref="A22:F22"/>
    <mergeCell ref="A24:F24"/>
    <mergeCell ref="A25:F25"/>
    <mergeCell ref="A27:B27"/>
    <mergeCell ref="C27:E27"/>
    <mergeCell ref="A29:F29"/>
    <mergeCell ref="A31:F32"/>
    <mergeCell ref="A34:D34"/>
    <mergeCell ref="A38:F38"/>
    <mergeCell ref="D41:E41"/>
    <mergeCell ref="A54:C54"/>
    <mergeCell ref="A44:F44"/>
    <mergeCell ref="A46:B46"/>
    <mergeCell ref="C46:D46"/>
    <mergeCell ref="A47:B47"/>
    <mergeCell ref="C47:D47"/>
    <mergeCell ref="A48:B48"/>
    <mergeCell ref="C48:D48"/>
    <mergeCell ref="A49:B49"/>
    <mergeCell ref="C49:D49"/>
    <mergeCell ref="A50:B50"/>
    <mergeCell ref="C50:D50"/>
    <mergeCell ref="A52:F52"/>
    <mergeCell ref="A131:F132"/>
    <mergeCell ref="A56:C56"/>
    <mergeCell ref="A64:B64"/>
    <mergeCell ref="A66:F68"/>
    <mergeCell ref="D71:E71"/>
    <mergeCell ref="A72:B72"/>
    <mergeCell ref="A74:D74"/>
    <mergeCell ref="A88:F91"/>
    <mergeCell ref="A93:D93"/>
    <mergeCell ref="A95:C95"/>
    <mergeCell ref="A103:C103"/>
    <mergeCell ref="D112:E112"/>
    <mergeCell ref="A156:F156"/>
    <mergeCell ref="A133:C133"/>
    <mergeCell ref="A134:E134"/>
    <mergeCell ref="A136:F137"/>
    <mergeCell ref="A141:F142"/>
    <mergeCell ref="B147:D147"/>
    <mergeCell ref="B148:D148"/>
    <mergeCell ref="B149:D149"/>
    <mergeCell ref="A151:D151"/>
    <mergeCell ref="D153:E153"/>
    <mergeCell ref="A154:C154"/>
    <mergeCell ref="A155:F155"/>
    <mergeCell ref="A157:F157"/>
    <mergeCell ref="A158:F158"/>
    <mergeCell ref="A159:F159"/>
    <mergeCell ref="A160:F160"/>
    <mergeCell ref="A162:F162"/>
    <mergeCell ref="A171:C171"/>
    <mergeCell ref="D171:F171"/>
    <mergeCell ref="B173:E173"/>
    <mergeCell ref="A161:F161"/>
    <mergeCell ref="A163:F163"/>
    <mergeCell ref="A164:F164"/>
    <mergeCell ref="A168:C168"/>
    <mergeCell ref="D168:F168"/>
    <mergeCell ref="A169:C169"/>
    <mergeCell ref="D169:F169"/>
    <mergeCell ref="A170:C170"/>
    <mergeCell ref="D170:F170"/>
    <mergeCell ref="A166:C166"/>
  </mergeCells>
  <printOptions horizontalCentered="1"/>
  <pageMargins left="0.23622047244094491" right="0.23622047244094491" top="0.74803149606299213" bottom="0.74803149606299213" header="0.31496062992125984" footer="0.31496062992125984"/>
  <pageSetup scale="82" orientation="portrait" horizontalDpi="4294967293" r:id="rId1"/>
  <headerFooter>
    <oddHeader xml:space="preserve">&amp;C 
&amp;"Arial Narrow,Negrita"&amp;14 
MODIFICACIÓN AL
CERTIFICADO DE CALIBRACIÓN 
DE  BALANZAS&amp;R&amp;"-,Negrita"&amp;12
             </oddHeader>
    <oddFooter>&amp;R&amp;8
  RT03-F39  Vr.5 (2019-05-15)
&amp;P de &amp;[Páginas</oddFooter>
  </headerFooter>
  <rowBreaks count="4" manualBreakCount="4">
    <brk id="38" max="5" man="1"/>
    <brk id="69" max="5" man="1"/>
    <brk id="110" max="16383" man="1"/>
    <brk id="151" max="16383" man="1"/>
  </row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'DATOS ° '!$A$156:$A$159</xm:f>
          </x14:formula1>
          <xm:sqref>F165</xm:sqref>
        </x14:dataValidation>
        <x14:dataValidation type="list" allowBlank="1" showInputMessage="1" showErrorMessage="1">
          <x14:formula1>
            <xm:f>'DATOS ° '!$A$156:$A$158</xm:f>
          </x14:formula1>
          <xm:sqref>C165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9</vt:i4>
      </vt:variant>
    </vt:vector>
  </HeadingPairs>
  <TitlesOfParts>
    <vt:vector size="13" baseType="lpstr">
      <vt:lpstr>DATOS ° </vt:lpstr>
      <vt:lpstr>RT03-F12 °</vt:lpstr>
      <vt:lpstr> RT03-F15 °</vt:lpstr>
      <vt:lpstr>RT03-F39</vt:lpstr>
      <vt:lpstr>' RT03-F15 °'!Área_de_impresión</vt:lpstr>
      <vt:lpstr>'RT03-F12 °'!Área_de_impresión</vt:lpstr>
      <vt:lpstr>' RT03-F15 °'!Print_Area</vt:lpstr>
      <vt:lpstr>'DATOS ° '!Print_Area</vt:lpstr>
      <vt:lpstr>'RT03-F12 °'!Print_Area</vt:lpstr>
      <vt:lpstr>'RT03-F39'!Print_Area</vt:lpstr>
      <vt:lpstr>' RT03-F15 °'!Print_Titles</vt:lpstr>
      <vt:lpstr>'RT03-F12 °'!Print_Titles</vt:lpstr>
      <vt:lpstr>'RT03-F39'!Print_Titles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Yenny Hernandez</cp:lastModifiedBy>
  <cp:lastPrinted>2019-11-08T15:10:39Z</cp:lastPrinted>
  <dcterms:created xsi:type="dcterms:W3CDTF">2016-06-28T20:23:39Z</dcterms:created>
  <dcterms:modified xsi:type="dcterms:W3CDTF">2019-11-08T15:15:55Z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